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716" windowHeight="9072" activeTab="0"/>
  </bookViews>
  <sheets>
    <sheet name="文學院" sheetId="2" r:id="rId1"/>
    <sheet name="農資學院" sheetId="3" r:id="rId2"/>
    <sheet name="理學院" sheetId="4" r:id="rId3"/>
    <sheet name="工學院" sheetId="9" r:id="rId4"/>
    <sheet name="電資學院" sheetId="6" r:id="rId5"/>
    <sheet name="獸醫學院" sheetId="5" r:id="rId6"/>
    <sheet name="生科院" sheetId="8" r:id="rId7"/>
    <sheet name="管理學院" sheetId="7" r:id="rId8"/>
    <sheet name="法政學院" sheetId="1" r:id="rId9"/>
    <sheet name="工作表1" sheetId="10" r:id="rId10"/>
  </sheets>
  <definedNames>
    <definedName name="_xlnm.Print_Area" localSheetId="0">'文學院'!$A$1:$E$13</definedName>
    <definedName name="_xlnm.Print_Area" localSheetId="4">'電資學院'!$A$1:$E$11</definedName>
    <definedName name="_xlnm.Print_Titles" localSheetId="1">'農資學院'!$1:$4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<sst xmlns="http://schemas.openxmlformats.org/spreadsheetml/2006/main" count="258" uniqueCount="206">
  <si>
    <t>使用面積</t>
  </si>
  <si>
    <t>配置</t>
  </si>
  <si>
    <t>法政學院(本部)</t>
  </si>
  <si>
    <t>法律系</t>
  </si>
  <si>
    <t>社管大樓2樓(314.23/3073.98)3樓(289.26/3026.7)4樓(440.78/2982.16)7樓(990.14/2971.72)8樓(396.68/1504.83)</t>
  </si>
  <si>
    <t>國政所</t>
  </si>
  <si>
    <t>國家政策與公共事務研究所</t>
  </si>
  <si>
    <t>教師專業發展研究所</t>
  </si>
  <si>
    <t>合計</t>
  </si>
  <si>
    <t>系所</t>
  </si>
  <si>
    <t>法政學院使用面積情形表</t>
  </si>
  <si>
    <t>文學院使用面積情形表</t>
  </si>
  <si>
    <t>中文系</t>
  </si>
  <si>
    <t>外文系</t>
  </si>
  <si>
    <t>歷史系</t>
  </si>
  <si>
    <t>台文所</t>
  </si>
  <si>
    <t>語言中心</t>
  </si>
  <si>
    <t>鹿鳴文化資產中心</t>
  </si>
  <si>
    <t>人文大樓地下1樓、1樓、2樓、3樓及屋突</t>
  </si>
  <si>
    <t>人文大樓5樓、6樓及9樓</t>
  </si>
  <si>
    <t>人文大樓7樓及10樓</t>
  </si>
  <si>
    <t>人文大樓8樓及9樓、綜大7樓</t>
  </si>
  <si>
    <t>人文大樓4樓及10樓、綜大7樓</t>
  </si>
  <si>
    <t>萬年樓(6738.04/7564.41)</t>
  </si>
  <si>
    <t>萬年樓(826.37/7564.41)</t>
  </si>
  <si>
    <t>農資院使用面積情形表</t>
  </si>
  <si>
    <t xml:space="preserve">植物病理學系 </t>
  </si>
  <si>
    <t>昆蟲學系</t>
  </si>
  <si>
    <t xml:space="preserve">土壤環境科學系 </t>
  </si>
  <si>
    <t>農推中心</t>
  </si>
  <si>
    <t xml:space="preserve">農藝學系 </t>
  </si>
  <si>
    <t xml:space="preserve">園藝學系 </t>
  </si>
  <si>
    <t>森林學系</t>
  </si>
  <si>
    <t xml:space="preserve">應用經濟學系 </t>
  </si>
  <si>
    <t>動物科學系</t>
  </si>
  <si>
    <t>水土保持學系</t>
  </si>
  <si>
    <t>水保館(1924.66)、水保二館(1467.69)人工降雨室(104.48)糧作所B1F及 1F(539.44)</t>
  </si>
  <si>
    <t>農資院(本部)</t>
  </si>
  <si>
    <t>農環大樓B1(550.375/3302.25)1樓(641.735/2566.94)2樓(1104.895/2946.39)屋突(314.96/314.96)10樓會議室(733.14/2932.57)</t>
  </si>
  <si>
    <t>農環大樓B1(1651.125/3302.25)1樓(641.735/2566.94)2樓(368.3/2946.39)3樓(2715.59/2715.59)4樓(2743.61/2743.61)10F(733.14/2932.57)</t>
  </si>
  <si>
    <t>食品暨應用生物科技學系</t>
  </si>
  <si>
    <t>生物科技學研究所</t>
  </si>
  <si>
    <t>生物產業機電工程學系</t>
  </si>
  <si>
    <t>農業自動化中心</t>
  </si>
  <si>
    <t xml:space="preserve">國際農學碩士學位學程 </t>
  </si>
  <si>
    <t xml:space="preserve">生物科技學士學位學程 </t>
  </si>
  <si>
    <t xml:space="preserve">國際農企業學士學位學程 </t>
  </si>
  <si>
    <t>生物產業管理研究所</t>
  </si>
  <si>
    <t>農環大樓B1(550.375/3302.25)1樓(641.735/2566.94)5樓(2715.59/2715.59)6樓(2715.59/2715.59)7樓(1357.795/2715.59)10樓(733.14/2932.57)</t>
  </si>
  <si>
    <t>農環大樓B1(550.375/3302.25)1樓(641.735/2566.94)7樓(1357.795/2715.59)8樓(2715.59/2715.59)9樓(2743.61/2743.61)10樓(733.14/2932.57)</t>
  </si>
  <si>
    <t>農環大樓2樓(736.6/2946.39)</t>
  </si>
  <si>
    <t>作物大樓B1(930.55/1861.1)1樓(1155.34/2310.68)2樓(826.655/1653.31)3樓(932.09/1864.18)4樓(783.835/1567.67) 5樓(783.835/1567.67)6樓(783.835/1567.67)7樓(783.835/1567.67)8樓(783.835/1567.67)屋突(78.605/157.21)、農藝系作物實習館(烤種室)1F（280）及3F（196）</t>
  </si>
  <si>
    <t>作物大樓B1(930.55/1861.1)1樓(1155.34/2310.68)2樓(826.655/1653.31)3樓(932.09/1864.18)4樓(783.835/1567.67) 5樓(783.835/1567.67)6樓(783.835/1567.67)7樓(783.835/1567.67)8樓(783.835/1567.67)屋突(78.605/157.21)</t>
  </si>
  <si>
    <t>森林館(2199.32)、森林研究所(1687.01)、理工大樓C棟(3498.16)、理工大樓D棟(194/352)、理工大樓E棟1F(219.51)、理工大樓A棟1樓(117.39/423.3)</t>
  </si>
  <si>
    <t>應經一館(舊農學院大樓)1F(556.01).2F(556.01).3F(556.01)、農經館東側1F(141.14).2F(141.14).屋突(62.74)、農經館西側1F(141.14).2F(141.14).屋突(62.74)、國農大樓3、4F(1427.38及1427.38)</t>
  </si>
  <si>
    <t>生機館.2F(901.09/1654.26)</t>
  </si>
  <si>
    <t>國農大樓5F(1427.38)</t>
  </si>
  <si>
    <t>國農大樓5F</t>
  </si>
  <si>
    <t>國農大樓6F(1427.38)</t>
  </si>
  <si>
    <t>應經二館A棟1F(709.7).2F(709.7)屋突（123.88)</t>
  </si>
  <si>
    <t>綜大701</t>
  </si>
  <si>
    <t xml:space="preserve">食品暨生物科技大樓B1(571.1/869.29)1樓(1354.89/1830.55).2樓(1432.28).3樓(1397.73)4樓(1397.73)5樓(1397.73)屋突(136.32)食品加工廠1樓（761.52/952.52）2樓（952.01）屋突（256.74） </t>
  </si>
  <si>
    <t>食品暨生物科技大樓B1(298.19/869.29)1樓(475.66/1830.55)6樓(1382.42)7樓(1373.31)8樓(430.79)生技所舊館(1073.28/1369.12)</t>
  </si>
  <si>
    <t>生機館BF(1071.95).1F(1692.87).2F(783.9/1654.26).3F(1727.02).4F(930.98).5F(930.98).6F(930.98).7F(930.98)屋突(82.87)</t>
  </si>
  <si>
    <t>土調中心</t>
  </si>
  <si>
    <t>林管處</t>
  </si>
  <si>
    <t>實習商店</t>
  </si>
  <si>
    <t>國農中心-國農大樓</t>
  </si>
  <si>
    <t>防檢大樓</t>
  </si>
  <si>
    <t>植病系發酵工廠</t>
  </si>
  <si>
    <t>食安所</t>
  </si>
  <si>
    <t>有機農業中心/智慧農業中心</t>
  </si>
  <si>
    <t>食品及畜產品安全檢測中心</t>
  </si>
  <si>
    <t>食安大樓一樓超出空間收費，不計入使用面積</t>
  </si>
  <si>
    <t>國農大樓 2F（587.7）</t>
  </si>
  <si>
    <t>防檢疫大樓4樓(586.96/1173.92)5樓(157.58/1173.92)--植病系、農藥檢測中心
防檢疫大樓4樓(586.96/1173.92)5樓(157.58/1173.92)--昆蟲系、農藥檢測中心</t>
  </si>
  <si>
    <t>植病系發酵工廠(233.82/233.82)</t>
  </si>
  <si>
    <t>食安大樓5樓（887.75)</t>
  </si>
  <si>
    <t>食安大樓7樓(887.75)</t>
  </si>
  <si>
    <t>食安大樓6樓(887.75)</t>
  </si>
  <si>
    <t>舊理工大樓B棟1F(752.46/1035)、國農大樓1F(1096/1706)</t>
  </si>
  <si>
    <t>舊理工大樓B棟3F(1035)、舊理工大樓A棟2樓(117.39)</t>
  </si>
  <si>
    <t>動物科學館(原畜牧館)BF(1003.98).1F(996.01).2F(1003.6)3F(1003.6).4F(1111.52).畜產館實驗室BF(247.46).1F((322.39)2F(226.97).3F(223.52).4F(217.58).5F(254.9)6F(37.86).動科系動物試驗舍(1295.29)及（150.26）.畜牧場畜舍(223.73)(223.73).大動物試驗中心(824.72)</t>
  </si>
  <si>
    <t>理學院使用面積情形表</t>
  </si>
  <si>
    <t>農業經濟與行銷碩士學位學程</t>
  </si>
  <si>
    <t>植物醫學暨安全農業碩士學位學程</t>
  </si>
  <si>
    <t>農業企業經營管理碩士在職專班</t>
  </si>
  <si>
    <t>國際農學研究所</t>
  </si>
  <si>
    <t>借用農資院空間(無單獨使用空間)</t>
  </si>
  <si>
    <t>借用農資院空間(無單獨使用空間)</t>
  </si>
  <si>
    <t>系、所、單位</t>
  </si>
  <si>
    <t>物理系</t>
  </si>
  <si>
    <t>化學系</t>
  </si>
  <si>
    <t>應數系</t>
  </si>
  <si>
    <t>奈米科學研究所</t>
  </si>
  <si>
    <t>統計學研究所</t>
  </si>
  <si>
    <t>電資學院使用面積情形表</t>
  </si>
  <si>
    <t>資工系
(應科2F.3F部分+理學大樓7F-10F)</t>
  </si>
  <si>
    <t>通訊工程研究所</t>
  </si>
  <si>
    <t>光電工程研究所</t>
  </si>
  <si>
    <t>電機系
電資學院</t>
  </si>
  <si>
    <t>電機大樓</t>
  </si>
  <si>
    <t>應科大樓7樓(1448/2114.31)</t>
  </si>
  <si>
    <t>應科大樓8樓(1396/1865.79)</t>
  </si>
  <si>
    <t>獸醫學院使用面積情形表</t>
  </si>
  <si>
    <t>獸醫病理生物學研究所</t>
  </si>
  <si>
    <t>獸醫學院(本部)
獸醫系
動物疾病診斷中心</t>
  </si>
  <si>
    <t>獸醫館B1F(645.97)、1F(513.99/638.27)、2F(584.06)、3F（574.52）、5F（592.01）、6F（280.84/594.84）、7F（475.92/598.62）、動物疾病診斷中心B1F(834.34)、1F（728.01)、2F(720.28)、3F(656.17)、5F(656.17)、屋突（120.43)</t>
  </si>
  <si>
    <t xml:space="preserve">
實驗動物舍1F(240.95).2F(230.03).3F3(263.88)4F(230.03)5F(230.03).屋突(30.93)
機械二館2、3F(597.51+597.51)、
檢疫動物舍(323)</t>
  </si>
  <si>
    <t>獸醫館6F(314/594.84).7F(122.7/598.62)、動物疾病診斷中心6F(656.17).7F(656.17).舊糧作所2F(282.53/282.53).3F(282.53/282.53)、舊遺傳中心2F(255.66/656.78)</t>
  </si>
  <si>
    <t>生科院使用面積情形表</t>
  </si>
  <si>
    <t>生命科學系</t>
  </si>
  <si>
    <t>分生所</t>
  </si>
  <si>
    <t>生化所</t>
  </si>
  <si>
    <t>生物醫學研究所</t>
  </si>
  <si>
    <t>基因體暨生物資訊學研究所</t>
  </si>
  <si>
    <t>生科大樓B1(1099.46/1989.71).1樓(1157.21/1928.55).2樓(340/1777.6)、12樓(67.38/1654.48)、屋突（509.37）</t>
  </si>
  <si>
    <t>生科大樓B1(235.98/1989.71).9樓(1509.33)10樓(1654.48).12樓(166.62/1654.48)</t>
  </si>
  <si>
    <t>生科大樓B1(88.01/1989.71).8F(1509.33)12樓(1256.2/1654.48)</t>
  </si>
  <si>
    <t>生科大樓11F(1654.48).12樓(164.28/1654.48)</t>
  </si>
  <si>
    <t>動植物防檢疫大樓7樓(1123.30/1123.30)</t>
  </si>
  <si>
    <t>舊遺傳中心2樓(401.12/656.78)、生科大樓B1(566.26/1989.71).1樓(771.34/1928.55).2樓(1437.6/1777.6).3樓(1473.48)4樓(1517.44)5樓(1499.46)6樓(1499.46)7樓(1642.74/1642.74)結構蛋白體中心夾層(97.7)應科大樓10樓(1930.26/1930.26)</t>
  </si>
  <si>
    <t>管理學院使用面積情形表</t>
  </si>
  <si>
    <t>管理學院(本部)</t>
  </si>
  <si>
    <t>財務金融系</t>
  </si>
  <si>
    <t>企管系</t>
  </si>
  <si>
    <t>行銷系</t>
  </si>
  <si>
    <t>科管所</t>
  </si>
  <si>
    <t>會計系</t>
  </si>
  <si>
    <t>資管系</t>
  </si>
  <si>
    <t>運動與健康管理研究所</t>
  </si>
  <si>
    <t>高階經理人碩士在職專班</t>
  </si>
  <si>
    <t>管委會</t>
  </si>
  <si>
    <t>創新產業經營學士學位學程</t>
  </si>
  <si>
    <t>社管大樓4樓(53.55/2965.94)5樓(942.23/2951.81)</t>
  </si>
  <si>
    <t>社管大樓2樓(300.03/3073.98)4樓(622.93//2965.94)5樓(438.49/2951.81)6樓(313.38/2969.49)8樓(128.21/1474.71)</t>
  </si>
  <si>
    <t>社管大樓2樓(641/3073.98)3樓(327.19/3009.95)7樓(831.85/2955.36)</t>
  </si>
  <si>
    <t>社管大樓2樓(212.99/3073.98)3樓(896.22/3009.95)4樓(76.05/2965.94)6樓(329.01/2969.49)8樓(526.96/1474.71)</t>
  </si>
  <si>
    <t>社管大樓2樓(314.23/3073.98)4樓(209.54//2965.94)6樓(668.11/2969.49)9樓(38.25/1383.33)</t>
  </si>
  <si>
    <t>社管大樓3樓(316.32/3009.95)4樓(880.65/2965.94)</t>
  </si>
  <si>
    <t>綜大7樓</t>
  </si>
  <si>
    <t>社管大樓2樓(461.13/3073.98)3樓(116.345/3009.95)5樓(907.35/2951.81)6樓(675.51/2969.49)7樓(38.12/2955.36)8樓(80.87/1474.71)
綜合大樓607-1、609、611、613、615及617(83.7)、綜合大樓607及612(41.1)</t>
  </si>
  <si>
    <t>環境工程系</t>
  </si>
  <si>
    <t>化學工程系</t>
  </si>
  <si>
    <t>材料系</t>
  </si>
  <si>
    <t>精密所</t>
  </si>
  <si>
    <t>醫工所</t>
  </si>
  <si>
    <t>環境保育暨防災科技研究中心</t>
  </si>
  <si>
    <t>金屬中心</t>
  </si>
  <si>
    <t>機械系</t>
  </si>
  <si>
    <t>土木環工大樓B1(291.69/2727.89)4樓(1938.14)5樓(1991)6樓(1991)7樓(1200.67/1993.67)</t>
  </si>
  <si>
    <t>土木系</t>
  </si>
  <si>
    <t>化材館B1(1115.73/2346.38)1樓(887.40/1622.38)2樓(896.70/1588.25)3樓(983.72/1685.04)4樓(946.21/1575.81)5樓(946.21/1575.81)6樓(946.21/1575.81) 7樓(946.21/1575.81)8樓(946.21/1575.81) 9樓(472.48/495.55)屋突(170.98/310.40)</t>
  </si>
  <si>
    <t xml:space="preserve">化材館B1(1230.65/2346.38)1樓(734.98/1622.38)2樓(691.55/1588.25)3樓(701.32/1685.04)4樓(629.6/1575.81)5樓(629.6/1575.81)6樓(629.6/1575.81) 7樓(629.6/1575.81)8樓(629.6/1575.81) 9樓(23.07/495.55)屋突(139.42/310.40)
</t>
  </si>
  <si>
    <t>應科大樓931空間</t>
  </si>
  <si>
    <t>舊理工大樓E棟1F</t>
  </si>
  <si>
    <r>
      <t>應科大樓7F</t>
    </r>
    <r>
      <rPr>
        <b/>
        <sz val="11"/>
        <rFont val="標楷體"/>
        <family val="4"/>
      </rPr>
      <t>(666.31/2114.31)B1F(1730.89</t>
    </r>
    <r>
      <rPr>
        <sz val="11"/>
        <rFont val="標楷體"/>
        <family val="4"/>
      </rPr>
      <t>/3461.78)B1F</t>
    </r>
  </si>
  <si>
    <t>應科大樓(345/2698.52)3樓(2459.73)4樓、(2395.47)5樓、機械系館(5080.99)、機械工廠二(912.63)、暫撥原機械二館之一樓空間(644.71)</t>
  </si>
  <si>
    <t>舊遺傳中心(656.78/656.78)1樓、土木環工大樓B1(2436/2727.69)1樓(2619.72)2樓(2242.64)3樓(1844.64)7樓(793/1993.67)、混泥土研究中心B1（140.33）3樓(367.34)、4樓(367.34)5樓(367.34)6樓(214.03)7樓（29.4)夾與突(7.99)、水工實驗室(456.88)</t>
  </si>
  <si>
    <t>獸醫館1F(124.28/638.27).4F(589.29)、動物疾病診斷中心4F(656.17)</t>
  </si>
  <si>
    <r>
      <t>理工大樓E棟1樓(501.05/1002.1)、理工大樓B棟1樓(282.54/1035)
食安大樓8樓（887.75)、9樓(887.75)，</t>
    </r>
    <r>
      <rPr>
        <sz val="11"/>
        <color rgb="FFFF0000"/>
        <rFont val="標楷體"/>
        <family val="4"/>
      </rPr>
      <t>僅計算原使用舊理工大樓空間</t>
    </r>
  </si>
  <si>
    <t>實驗動物舍
動物檢疫舍
機械二館2F、3F</t>
  </si>
  <si>
    <t>微生物暨公共衛生學研究所</t>
  </si>
  <si>
    <t>工學院使用面積情形表</t>
  </si>
  <si>
    <t>依學生數計算規定所需面積</t>
  </si>
  <si>
    <t>院本部
台文所
圖資所
文化創意產業學士學位學程</t>
  </si>
  <si>
    <t>資料科學與資訊計算研究所</t>
  </si>
  <si>
    <t xml:space="preserve">工學院(本部)
工科中心
智慧創意學程
</t>
  </si>
  <si>
    <t>電機資訊學院學士班</t>
  </si>
  <si>
    <t>使用院空間</t>
  </si>
  <si>
    <t>生科院(本部)
轉譯醫學博士學位學程
生命科學碩士在職專班 
醫學生物科技博士學位學程</t>
  </si>
  <si>
    <t>理學大樓
711-719為物理系
190.32</t>
  </si>
  <si>
    <t>理學大樓7樓(1023.75/1214.07)8樓(1214.07)9樓(1214.07)10樓(1214.07)屋突(104.12/260.3)
應科大樓2樓(661/2476.06）、3樓(2353.52/2698.52)</t>
  </si>
  <si>
    <t>進修部生管學程</t>
  </si>
  <si>
    <t>景觀與遊憩學士學位學程</t>
  </si>
  <si>
    <t>景觀與遊憩碩士學位學程</t>
  </si>
  <si>
    <t>依學生數計算規定所需面積</t>
  </si>
  <si>
    <t>依據「專科以上學校總量發展規模與資源條件標準-附表7:校舍建築面積之列計方式」規定基準計算所需面積。</t>
  </si>
  <si>
    <t>依據「專科以上學校總量發展規模與資源條件標準-附表7:校舍建築面積之列計方式」規定基準計算所需面積。</t>
  </si>
  <si>
    <t>依據「專科以上學校總量發展規模與資源條件標準-附表7:校舍建築面積之列計方式」規定基準計算所需面積。</t>
  </si>
  <si>
    <t>依據「專科以上學校總量發展規模與資源條件標準-附表7:校舍建築面積之列計方式」規定基準計算所需面積。</t>
  </si>
  <si>
    <t>實際使用面積與規定面積差異數</t>
  </si>
  <si>
    <t>實際使用面積與規定面積差異數</t>
  </si>
  <si>
    <t>社管大樓3樓(247.035/3009.95)6樓(71.5/2969.49)7樓(110.1/2955.36)8樓(258.21/1474.71)
綜合大樓1304、1311及1312(365.2)</t>
  </si>
  <si>
    <t>社管大樓5樓(348.5/2968.03)</t>
  </si>
  <si>
    <t>社管大樓B1(3320.04)、1F（3599.52/3918.76）、屋突（314.5）</t>
  </si>
  <si>
    <t>社管大樓1樓(319.24/3918.76)社管大樓2樓253.17/3073.98)3樓(809.01/3009.95)6樓628.78/2969.49)7樓(26.85/2955.36)8樓(73.63/1474.71)9樓(35.61/1383.33)</t>
  </si>
  <si>
    <t>社管大樓2樓(164.4/3073.98)4樓(97.4/2982.16))5樓(33.4/2968.03)7樓(259.34/2971.72)9樓(235.62/1386.26)</t>
  </si>
  <si>
    <t>社管大樓3樓(78.42/3026.7)4樓(115.62/2982.16)5樓(39.37/2968.03)7樓(221.7/2971.72)9樓(192.76/1386.26)</t>
  </si>
  <si>
    <t>社管大樓2樓(130.21/3073.98)4樓(379/2982.16)5樓(66.8/2968.03)7樓(63/2971.72)9樓(568.36/1386.26)</t>
  </si>
  <si>
    <t>應科大樓(1240.05/2374.2)6樓</t>
  </si>
  <si>
    <t>應科大樓(1134.15/2374.2)6樓</t>
  </si>
  <si>
    <t>理學大樓管委會</t>
  </si>
  <si>
    <r>
      <rPr>
        <sz val="12"/>
        <color theme="1"/>
        <rFont val="標楷體"/>
        <family val="4"/>
      </rPr>
      <t>院本部、科教中心</t>
    </r>
  </si>
  <si>
    <t>理學大樓B1(503.64)1樓(440.22)2樓(1877.71)3樓(2096.53)4樓(471.18)5樓(1146.49)6樓(1136.5)7樓(190.32)</t>
  </si>
  <si>
    <t>化學館B1(1442.54)1樓(375.63)3樓(402.78)4樓(1208.37)5樓(1208.37)6樓(1356.44)7樓(1356.44)8樓(1440.45)屋突(139.51)
理學大樓4樓(471.18)</t>
  </si>
  <si>
    <t>資訊大樓3樓(1379.36)4樓(1026.29)5樓(1042.8)6樓(1046.43)7樓(1062.06)</t>
  </si>
  <si>
    <r>
      <rPr>
        <sz val="11"/>
        <color theme="1"/>
        <rFont val="標楷體"/>
        <family val="4"/>
      </rPr>
      <t>理學大樓B1(774.59)1樓(617.42)2樓(66.1)3樓(66.1)4樓(143.73)5樓(59.98)6樓(59.98)</t>
    </r>
    <r>
      <rPr>
        <sz val="11"/>
        <rFont val="標楷體"/>
        <family val="4"/>
      </rPr>
      <t>7樓(62.49)8樓(62.49)9樓(62.49)10樓(62.49)屋突(156.18)</t>
    </r>
  </si>
  <si>
    <r>
      <rPr>
        <sz val="11"/>
        <color theme="1"/>
        <rFont val="標楷體"/>
        <family val="4"/>
      </rPr>
      <t>理學大樓1樓(832.14)4樓(660.81)</t>
    </r>
  </si>
  <si>
    <r>
      <rPr>
        <sz val="12"/>
        <color rgb="FF000000"/>
        <rFont val="標楷體"/>
        <family val="4"/>
      </rPr>
      <t>大數據產學研發博士班</t>
    </r>
  </si>
  <si>
    <r>
      <rPr>
        <sz val="12"/>
        <color rgb="FF000000"/>
        <rFont val="標楷體"/>
        <family val="4"/>
      </rPr>
      <t>人工智慧與資料科學碩士在職專班</t>
    </r>
  </si>
  <si>
    <t>借用應數系空間</t>
  </si>
  <si>
    <t>借用理學院空間</t>
  </si>
  <si>
    <t>借用資工系空間</t>
  </si>
  <si>
    <t>借用應數系空間</t>
  </si>
  <si>
    <t>借用物理系空間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</si>
</sst>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0.00_ ;[Red]\-0.00\ "/>
    <numFmt numFmtId="177" formatCode="#,##0_ "/>
    <numFmt numFmtId="178" formatCode="#,##0.00_ "/>
  </numFmts>
  <fonts count="22">
    <font>
      <sz val="12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標楷體"/>
      <family val="4"/>
    </font>
    <font>
      <sz val="9"/>
      <name val="Calibri"/>
      <family val="2"/>
      <scheme val="minor"/>
    </font>
    <font>
      <sz val="11"/>
      <color theme="1"/>
      <name val="標楷體"/>
      <family val="4"/>
    </font>
    <font>
      <b/>
      <sz val="11"/>
      <color theme="1"/>
      <name val="標楷體"/>
      <family val="4"/>
    </font>
    <font>
      <sz val="9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標楷體"/>
      <family val="4"/>
    </font>
    <font>
      <sz val="11"/>
      <color rgb="FFFF0000"/>
      <name val="標楷體"/>
      <family val="4"/>
    </font>
    <font>
      <sz val="12"/>
      <color theme="1"/>
      <name val="新細明體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sz val="12"/>
      <color theme="1"/>
      <name val="微軟正黑體"/>
      <family val="2"/>
    </font>
    <font>
      <sz val="11"/>
      <color theme="1"/>
      <name val="微軟正黑體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000000"/>
      <name val="標楷體"/>
      <family val="4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0" fontId="0" fillId="0" borderId="0">
      <alignment vertical="center"/>
      <protection/>
    </xf>
  </cellStyleXfs>
  <cellXfs count="1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43" fontId="4" fillId="0" borderId="1" xfId="2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3" fontId="5" fillId="0" borderId="1" xfId="20" applyFont="1" applyBorder="1" applyAlignment="1">
      <alignment vertical="center"/>
    </xf>
    <xf numFmtId="0" fontId="4" fillId="0" borderId="0" xfId="0" applyFont="1" applyAlignment="1">
      <alignment vertical="center" wrapText="1"/>
    </xf>
    <xf numFmtId="43" fontId="4" fillId="0" borderId="0" xfId="20" applyFont="1" applyAlignment="1">
      <alignment vertical="center"/>
    </xf>
    <xf numFmtId="43" fontId="4" fillId="0" borderId="1" xfId="2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7" fillId="0" borderId="1" xfId="21" applyNumberFormat="1" applyFont="1" applyBorder="1" applyAlignment="1">
      <alignment horizontal="center" vertical="center" wrapText="1"/>
      <protection/>
    </xf>
    <xf numFmtId="43" fontId="7" fillId="0" borderId="1" xfId="20" applyFont="1" applyBorder="1" applyAlignment="1">
      <alignment vertical="center"/>
    </xf>
    <xf numFmtId="43" fontId="7" fillId="0" borderId="1" xfId="2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43" fontId="7" fillId="0" borderId="1" xfId="20" applyFont="1" applyBorder="1" applyAlignment="1">
      <alignment horizontal="right" vertical="center"/>
    </xf>
    <xf numFmtId="176" fontId="8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176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3" fontId="7" fillId="0" borderId="1" xfId="2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vertical="center" wrapText="1"/>
    </xf>
    <xf numFmtId="176" fontId="7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177" fontId="4" fillId="0" borderId="1" xfId="20" applyNumberFormat="1" applyFont="1" applyBorder="1" applyAlignment="1">
      <alignment vertical="center"/>
    </xf>
    <xf numFmtId="43" fontId="4" fillId="0" borderId="1" xfId="2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43" fontId="7" fillId="0" borderId="1" xfId="2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43" fontId="7" fillId="0" borderId="1" xfId="2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2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43" fontId="7" fillId="2" borderId="1" xfId="2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4" fillId="0" borderId="1" xfId="20" applyFont="1" applyBorder="1" applyAlignment="1">
      <alignment horizontal="center" vertical="center"/>
    </xf>
    <xf numFmtId="43" fontId="7" fillId="0" borderId="1" xfId="20" applyFont="1" applyBorder="1" applyAlignment="1">
      <alignment horizontal="center" vertical="center" wrapText="1"/>
    </xf>
    <xf numFmtId="43" fontId="8" fillId="0" borderId="1" xfId="20" applyFont="1" applyBorder="1" applyAlignment="1">
      <alignment horizontal="center" vertical="center"/>
    </xf>
    <xf numFmtId="43" fontId="7" fillId="0" borderId="1" xfId="20" applyFont="1" applyFill="1" applyBorder="1" applyAlignment="1">
      <alignment horizontal="center" vertical="center" wrapText="1"/>
    </xf>
    <xf numFmtId="43" fontId="4" fillId="0" borderId="1" xfId="20" applyFont="1" applyBorder="1" applyAlignment="1">
      <alignment horizontal="center" vertical="center" wrapText="1"/>
    </xf>
    <xf numFmtId="43" fontId="4" fillId="0" borderId="2" xfId="20" applyFont="1" applyBorder="1" applyAlignment="1">
      <alignment horizontal="center" vertical="center" wrapText="1"/>
    </xf>
    <xf numFmtId="43" fontId="4" fillId="0" borderId="3" xfId="20" applyFont="1" applyBorder="1" applyAlignment="1">
      <alignment horizontal="center" vertical="center" wrapText="1"/>
    </xf>
    <xf numFmtId="43" fontId="4" fillId="0" borderId="1" xfId="20" applyFont="1" applyFill="1" applyBorder="1" applyAlignment="1">
      <alignment horizontal="center" vertical="center" wrapText="1"/>
    </xf>
    <xf numFmtId="43" fontId="5" fillId="0" borderId="1" xfId="20" applyFont="1" applyBorder="1" applyAlignment="1">
      <alignment horizontal="center" vertical="center" wrapText="1"/>
    </xf>
    <xf numFmtId="43" fontId="4" fillId="0" borderId="1" xfId="20" applyFont="1" applyBorder="1" applyAlignment="1">
      <alignment vertical="center" wrapText="1"/>
    </xf>
    <xf numFmtId="43" fontId="4" fillId="2" borderId="1" xfId="20" applyFont="1" applyFill="1" applyBorder="1" applyAlignment="1">
      <alignment horizontal="center" vertical="center" wrapText="1"/>
    </xf>
    <xf numFmtId="43" fontId="5" fillId="2" borderId="1" xfId="20" applyFont="1" applyFill="1" applyBorder="1" applyAlignment="1">
      <alignment horizontal="center" vertical="center" wrapText="1"/>
    </xf>
    <xf numFmtId="43" fontId="5" fillId="0" borderId="1" xfId="0" applyNumberFormat="1" applyFont="1" applyBorder="1" applyAlignment="1">
      <alignment vertical="center" wrapText="1"/>
    </xf>
    <xf numFmtId="43" fontId="4" fillId="0" borderId="1" xfId="2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5" fillId="0" borderId="1" xfId="0" applyFont="1" applyBorder="1" applyAlignment="1">
      <alignment vertical="center" wrapText="1"/>
    </xf>
    <xf numFmtId="43" fontId="15" fillId="0" borderId="1" xfId="20" applyFont="1" applyBorder="1" applyAlignment="1">
      <alignment vertical="center" wrapText="1"/>
    </xf>
    <xf numFmtId="43" fontId="15" fillId="0" borderId="1" xfId="2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43" fontId="16" fillId="0" borderId="1" xfId="20" applyFont="1" applyBorder="1" applyAlignment="1">
      <alignment vertical="center" wrapText="1"/>
    </xf>
    <xf numFmtId="43" fontId="16" fillId="0" borderId="1" xfId="2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178" fontId="7" fillId="0" borderId="1" xfId="20" applyNumberFormat="1" applyFont="1" applyBorder="1" applyAlignment="1">
      <alignment vertical="center"/>
    </xf>
    <xf numFmtId="43" fontId="7" fillId="3" borderId="1" xfId="20" applyFont="1" applyFill="1" applyBorder="1" applyAlignment="1">
      <alignment vertical="center"/>
    </xf>
    <xf numFmtId="178" fontId="7" fillId="4" borderId="1" xfId="20" applyNumberFormat="1" applyFont="1" applyFill="1" applyBorder="1" applyAlignment="1">
      <alignment vertical="center"/>
    </xf>
    <xf numFmtId="178" fontId="7" fillId="2" borderId="1" xfId="20" applyNumberFormat="1" applyFont="1" applyFill="1" applyBorder="1" applyAlignment="1">
      <alignment vertical="center"/>
    </xf>
    <xf numFmtId="43" fontId="4" fillId="3" borderId="1" xfId="20" applyNumberFormat="1" applyFont="1" applyFill="1" applyBorder="1" applyAlignment="1">
      <alignment vertical="center"/>
    </xf>
    <xf numFmtId="178" fontId="4" fillId="4" borderId="1" xfId="20" applyNumberFormat="1" applyFont="1" applyFill="1" applyBorder="1" applyAlignment="1">
      <alignment vertical="center"/>
    </xf>
    <xf numFmtId="178" fontId="4" fillId="3" borderId="1" xfId="20" applyNumberFormat="1" applyFont="1" applyFill="1" applyBorder="1" applyAlignment="1">
      <alignment vertical="center"/>
    </xf>
    <xf numFmtId="43" fontId="7" fillId="3" borderId="1" xfId="0" applyNumberFormat="1" applyFont="1" applyFill="1" applyBorder="1" applyAlignment="1">
      <alignment horizontal="right" vertical="center" wrapText="1"/>
    </xf>
    <xf numFmtId="178" fontId="7" fillId="4" borderId="1" xfId="0" applyNumberFormat="1" applyFont="1" applyFill="1" applyBorder="1" applyAlignment="1">
      <alignment horizontal="right" vertical="center" wrapText="1"/>
    </xf>
    <xf numFmtId="43" fontId="7" fillId="3" borderId="1" xfId="20" applyNumberFormat="1" applyFont="1" applyFill="1" applyBorder="1" applyAlignment="1">
      <alignment vertical="center"/>
    </xf>
    <xf numFmtId="43" fontId="7" fillId="3" borderId="1" xfId="20" applyFont="1" applyFill="1" applyBorder="1" applyAlignment="1">
      <alignment horizontal="right" vertical="center"/>
    </xf>
    <xf numFmtId="178" fontId="15" fillId="4" borderId="1" xfId="20" applyNumberFormat="1" applyFont="1" applyFill="1" applyBorder="1" applyAlignment="1">
      <alignment vertical="center"/>
    </xf>
    <xf numFmtId="43" fontId="15" fillId="3" borderId="1" xfId="20" applyFont="1" applyFill="1" applyBorder="1" applyAlignment="1">
      <alignment vertical="center"/>
    </xf>
    <xf numFmtId="43" fontId="4" fillId="0" borderId="3" xfId="20" applyFont="1" applyBorder="1" applyAlignment="1">
      <alignment vertical="center"/>
    </xf>
    <xf numFmtId="178" fontId="7" fillId="4" borderId="3" xfId="20" applyNumberFormat="1" applyFont="1" applyFill="1" applyBorder="1" applyAlignment="1">
      <alignment vertical="center"/>
    </xf>
    <xf numFmtId="43" fontId="4" fillId="0" borderId="1" xfId="20" applyFont="1" applyBorder="1" applyAlignment="1">
      <alignment vertical="center"/>
    </xf>
    <xf numFmtId="178" fontId="7" fillId="3" borderId="1" xfId="20" applyNumberFormat="1" applyFont="1" applyFill="1" applyBorder="1" applyAlignment="1">
      <alignment vertical="center"/>
    </xf>
    <xf numFmtId="43" fontId="7" fillId="4" borderId="1" xfId="20" applyFont="1" applyFill="1" applyBorder="1" applyAlignment="1">
      <alignment vertical="center"/>
    </xf>
    <xf numFmtId="178" fontId="7" fillId="3" borderId="1" xfId="20" applyNumberFormat="1" applyFont="1" applyFill="1" applyBorder="1" applyAlignment="1">
      <alignment vertical="center"/>
    </xf>
    <xf numFmtId="43" fontId="15" fillId="4" borderId="1" xfId="20" applyFont="1" applyFill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3" fontId="4" fillId="0" borderId="1" xfId="2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3" fontId="4" fillId="0" borderId="2" xfId="20" applyFont="1" applyBorder="1" applyAlignment="1">
      <alignment horizontal="center" vertical="center" wrapText="1"/>
    </xf>
    <xf numFmtId="43" fontId="4" fillId="0" borderId="3" xfId="2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left" vertical="center" wrapText="1"/>
    </xf>
    <xf numFmtId="176" fontId="7" fillId="0" borderId="3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3" fontId="7" fillId="0" borderId="1" xfId="20" applyFont="1" applyBorder="1" applyAlignment="1">
      <alignment horizontal="center" vertical="center"/>
    </xf>
    <xf numFmtId="43" fontId="4" fillId="0" borderId="2" xfId="20" applyFont="1" applyBorder="1" applyAlignment="1">
      <alignment horizontal="center" vertical="center"/>
    </xf>
    <xf numFmtId="43" fontId="4" fillId="0" borderId="3" xfId="20" applyFont="1" applyBorder="1" applyAlignment="1">
      <alignment horizontal="center" vertical="center"/>
    </xf>
    <xf numFmtId="43" fontId="7" fillId="0" borderId="2" xfId="20" applyFont="1" applyBorder="1" applyAlignment="1">
      <alignment horizontal="center" vertical="center" wrapText="1"/>
    </xf>
    <xf numFmtId="43" fontId="7" fillId="0" borderId="3" xfId="20" applyFont="1" applyBorder="1" applyAlignment="1">
      <alignment horizontal="center" vertical="center" wrapText="1"/>
    </xf>
    <xf numFmtId="43" fontId="7" fillId="3" borderId="2" xfId="20" applyFont="1" applyFill="1" applyBorder="1" applyAlignment="1">
      <alignment horizontal="center" vertical="center"/>
    </xf>
    <xf numFmtId="43" fontId="7" fillId="3" borderId="3" xfId="2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2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3" fontId="4" fillId="2" borderId="2" xfId="20" applyFont="1" applyFill="1" applyBorder="1" applyAlignment="1">
      <alignment horizontal="center" vertical="center" wrapText="1"/>
    </xf>
    <xf numFmtId="43" fontId="4" fillId="2" borderId="3" xfId="2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3" fontId="15" fillId="0" borderId="1" xfId="2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3" fontId="15" fillId="0" borderId="2" xfId="20" applyFont="1" applyBorder="1" applyAlignment="1">
      <alignment horizontal="center" vertical="center"/>
    </xf>
    <xf numFmtId="43" fontId="15" fillId="0" borderId="3" xfId="20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7" fillId="0" borderId="1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/>
    </xf>
    <xf numFmtId="0" fontId="18" fillId="0" borderId="1" xfId="20" applyNumberFormat="1" applyFont="1" applyBorder="1" applyAlignment="1">
      <alignment horizontal="left" vertical="center" wrapText="1"/>
    </xf>
    <xf numFmtId="43" fontId="4" fillId="4" borderId="1" xfId="2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分位" xfId="20"/>
    <cellStyle name="一般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3"/>
  <sheetViews>
    <sheetView tabSelected="1" view="pageBreakPreview" zoomScaleSheetLayoutView="100" workbookViewId="0" topLeftCell="A1">
      <selection activeCell="L11" sqref="L11"/>
    </sheetView>
  </sheetViews>
  <sheetFormatPr defaultColWidth="9.00390625" defaultRowHeight="15.75"/>
  <cols>
    <col min="1" max="2" width="18.625" style="0" customWidth="1"/>
    <col min="3" max="4" width="22.625" style="0" customWidth="1"/>
    <col min="5" max="5" width="45.75390625" style="0" customWidth="1"/>
  </cols>
  <sheetData>
    <row r="1" spans="1:5" ht="22.2">
      <c r="A1" s="94" t="s">
        <v>11</v>
      </c>
      <c r="B1" s="94"/>
      <c r="C1" s="94"/>
      <c r="D1" s="94"/>
      <c r="E1" s="94"/>
    </row>
    <row r="3" spans="1:5" ht="16.2" customHeight="1">
      <c r="A3" s="91" t="s">
        <v>90</v>
      </c>
      <c r="B3" s="95" t="s">
        <v>176</v>
      </c>
      <c r="C3" s="92" t="s">
        <v>0</v>
      </c>
      <c r="D3" s="97" t="s">
        <v>181</v>
      </c>
      <c r="E3" s="93" t="s">
        <v>1</v>
      </c>
    </row>
    <row r="4" spans="1:5" ht="16.2" customHeight="1">
      <c r="A4" s="91"/>
      <c r="B4" s="96"/>
      <c r="C4" s="92"/>
      <c r="D4" s="98"/>
      <c r="E4" s="93"/>
    </row>
    <row r="5" spans="1:5" ht="73.2" customHeight="1">
      <c r="A5" s="13" t="s">
        <v>165</v>
      </c>
      <c r="B5" s="49">
        <v>1390</v>
      </c>
      <c r="C5" s="14">
        <f>2392.2+2135.89+1386.47+1755.63+290.66</f>
        <v>7960.85</v>
      </c>
      <c r="D5" s="71">
        <f>C5-B5</f>
        <v>6570.85</v>
      </c>
      <c r="E5" s="15" t="s">
        <v>18</v>
      </c>
    </row>
    <row r="6" spans="1:5" ht="60" customHeight="1">
      <c r="A6" s="16" t="s">
        <v>12</v>
      </c>
      <c r="B6" s="49">
        <v>4676</v>
      </c>
      <c r="C6" s="14">
        <f>1612.75+210+74</f>
        <v>1896.75</v>
      </c>
      <c r="D6" s="72">
        <f aca="true" t="shared" si="0" ref="D6:D9">C6-B6</f>
        <v>-2779.25</v>
      </c>
      <c r="E6" s="14" t="s">
        <v>21</v>
      </c>
    </row>
    <row r="7" spans="1:5" ht="60" customHeight="1">
      <c r="A7" s="16" t="s">
        <v>13</v>
      </c>
      <c r="B7" s="49">
        <v>3783</v>
      </c>
      <c r="C7" s="14">
        <f>1737.06+1233.44+74</f>
        <v>3044.5</v>
      </c>
      <c r="D7" s="72">
        <f t="shared" si="0"/>
        <v>-738.5</v>
      </c>
      <c r="E7" s="14" t="s">
        <v>22</v>
      </c>
    </row>
    <row r="8" spans="1:5" ht="60" customHeight="1">
      <c r="A8" s="16" t="s">
        <v>14</v>
      </c>
      <c r="B8" s="49">
        <v>3682</v>
      </c>
      <c r="C8" s="14">
        <f>1266.16+1199.68+1103.44</f>
        <v>3569.28</v>
      </c>
      <c r="D8" s="72">
        <f t="shared" si="0"/>
        <v>-112.7199999999998</v>
      </c>
      <c r="E8" s="14" t="s">
        <v>19</v>
      </c>
    </row>
    <row r="9" spans="1:5" ht="60" customHeight="1">
      <c r="A9" s="16" t="s">
        <v>15</v>
      </c>
      <c r="B9" s="49">
        <v>722</v>
      </c>
      <c r="C9" s="14">
        <f>1564.46+80</f>
        <v>1644.46</v>
      </c>
      <c r="D9" s="71">
        <f t="shared" si="0"/>
        <v>922.46</v>
      </c>
      <c r="E9" s="14" t="s">
        <v>20</v>
      </c>
    </row>
    <row r="10" spans="1:5" ht="60" customHeight="1">
      <c r="A10" s="17" t="s">
        <v>16</v>
      </c>
      <c r="B10" s="50"/>
      <c r="C10" s="18">
        <v>6738.04</v>
      </c>
      <c r="D10" s="18"/>
      <c r="E10" s="19" t="s">
        <v>23</v>
      </c>
    </row>
    <row r="11" spans="1:5" ht="60" customHeight="1">
      <c r="A11" s="17" t="s">
        <v>17</v>
      </c>
      <c r="B11" s="50"/>
      <c r="C11" s="18">
        <v>826.37</v>
      </c>
      <c r="D11" s="18"/>
      <c r="E11" s="19" t="s">
        <v>24</v>
      </c>
    </row>
    <row r="12" spans="1:5" ht="35.25" customHeight="1">
      <c r="A12" s="6" t="s">
        <v>8</v>
      </c>
      <c r="B12" s="60">
        <f>SUM(B5:B11)</f>
        <v>14253</v>
      </c>
      <c r="C12" s="7">
        <f>SUM(C5:C11)</f>
        <v>25680.25</v>
      </c>
      <c r="D12" s="7"/>
      <c r="E12" s="11"/>
    </row>
    <row r="13" spans="1:5" ht="30.6" customHeight="1">
      <c r="A13" s="90" t="s">
        <v>177</v>
      </c>
      <c r="B13" s="90"/>
      <c r="C13" s="90"/>
      <c r="D13" s="90"/>
      <c r="E13" s="90"/>
    </row>
  </sheetData>
  <mergeCells count="7">
    <mergeCell ref="A13:E13"/>
    <mergeCell ref="A3:A4"/>
    <mergeCell ref="C3:C4"/>
    <mergeCell ref="E3:E4"/>
    <mergeCell ref="A1:E1"/>
    <mergeCell ref="B3:B4"/>
    <mergeCell ref="D3:D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41"/>
  <sheetViews>
    <sheetView view="pageBreakPreview" zoomScaleSheetLayoutView="100" workbookViewId="0" topLeftCell="A1">
      <selection activeCell="G26" sqref="G26"/>
    </sheetView>
  </sheetViews>
  <sheetFormatPr defaultColWidth="9.00390625" defaultRowHeight="15.75"/>
  <cols>
    <col min="1" max="2" width="18.625" style="0" customWidth="1"/>
    <col min="3" max="4" width="22.625" style="0" customWidth="1"/>
    <col min="5" max="5" width="50.75390625" style="0" customWidth="1"/>
  </cols>
  <sheetData>
    <row r="1" spans="1:5" ht="22.2">
      <c r="A1" s="101" t="s">
        <v>25</v>
      </c>
      <c r="B1" s="101"/>
      <c r="C1" s="101"/>
      <c r="D1" s="101"/>
      <c r="E1" s="101"/>
    </row>
    <row r="2" spans="1:5" ht="15.75">
      <c r="A2" s="22"/>
      <c r="B2" s="22"/>
      <c r="C2" s="22"/>
      <c r="D2" s="22"/>
      <c r="E2" s="22"/>
    </row>
    <row r="3" spans="1:5" ht="16.2" customHeight="1">
      <c r="A3" s="91" t="s">
        <v>90</v>
      </c>
      <c r="B3" s="95" t="s">
        <v>164</v>
      </c>
      <c r="C3" s="102" t="s">
        <v>0</v>
      </c>
      <c r="D3" s="105" t="s">
        <v>181</v>
      </c>
      <c r="E3" s="91" t="s">
        <v>1</v>
      </c>
    </row>
    <row r="4" spans="1:5" ht="16.2" customHeight="1">
      <c r="A4" s="91"/>
      <c r="B4" s="96"/>
      <c r="C4" s="102"/>
      <c r="D4" s="106"/>
      <c r="E4" s="91"/>
    </row>
    <row r="5" spans="1:5" ht="60" customHeight="1">
      <c r="A5" s="23" t="s">
        <v>37</v>
      </c>
      <c r="B5" s="49"/>
      <c r="C5" s="14">
        <v>3345.1</v>
      </c>
      <c r="D5" s="14"/>
      <c r="E5" s="23" t="s">
        <v>38</v>
      </c>
    </row>
    <row r="6" spans="1:5" ht="60" customHeight="1">
      <c r="A6" s="23" t="s">
        <v>26</v>
      </c>
      <c r="B6" s="49">
        <v>4939</v>
      </c>
      <c r="C6" s="14">
        <v>9584.95</v>
      </c>
      <c r="D6" s="71">
        <f>C6-B6</f>
        <v>4645.950000000001</v>
      </c>
      <c r="E6" s="23" t="s">
        <v>48</v>
      </c>
    </row>
    <row r="7" spans="1:5" ht="60" customHeight="1">
      <c r="A7" s="23" t="s">
        <v>27</v>
      </c>
      <c r="B7" s="49">
        <v>5044</v>
      </c>
      <c r="C7" s="14">
        <v>9379.15</v>
      </c>
      <c r="D7" s="71">
        <f aca="true" t="shared" si="0" ref="D7:D39">C7-B7</f>
        <v>4335.15</v>
      </c>
      <c r="E7" s="23" t="s">
        <v>49</v>
      </c>
    </row>
    <row r="8" spans="1:5" ht="82.2" customHeight="1">
      <c r="A8" s="23" t="s">
        <v>28</v>
      </c>
      <c r="B8" s="49">
        <v>4287</v>
      </c>
      <c r="C8" s="14">
        <v>8853.5</v>
      </c>
      <c r="D8" s="71">
        <f t="shared" si="0"/>
        <v>4566.5</v>
      </c>
      <c r="E8" s="23" t="s">
        <v>39</v>
      </c>
    </row>
    <row r="9" spans="1:5" ht="60" customHeight="1">
      <c r="A9" s="23" t="s">
        <v>29</v>
      </c>
      <c r="B9" s="49"/>
      <c r="C9" s="14">
        <v>736.6</v>
      </c>
      <c r="D9" s="14"/>
      <c r="E9" s="23" t="s">
        <v>50</v>
      </c>
    </row>
    <row r="10" spans="1:5" ht="106.2" customHeight="1">
      <c r="A10" s="23" t="s">
        <v>30</v>
      </c>
      <c r="B10" s="49">
        <v>5124</v>
      </c>
      <c r="C10" s="25">
        <f>7926.51+175.1</f>
        <v>8101.610000000001</v>
      </c>
      <c r="D10" s="71">
        <f t="shared" si="0"/>
        <v>2977.6100000000006</v>
      </c>
      <c r="E10" s="23" t="s">
        <v>51</v>
      </c>
    </row>
    <row r="11" spans="1:5" ht="93" customHeight="1">
      <c r="A11" s="23" t="s">
        <v>31</v>
      </c>
      <c r="B11" s="49">
        <v>5618</v>
      </c>
      <c r="C11" s="25">
        <v>7926.51</v>
      </c>
      <c r="D11" s="71">
        <f t="shared" si="0"/>
        <v>2308.51</v>
      </c>
      <c r="E11" s="23" t="s">
        <v>52</v>
      </c>
    </row>
    <row r="12" spans="1:5" ht="60" customHeight="1">
      <c r="A12" s="23" t="s">
        <v>32</v>
      </c>
      <c r="B12" s="49">
        <v>6938</v>
      </c>
      <c r="C12" s="25">
        <v>7915.39</v>
      </c>
      <c r="D12" s="71">
        <f t="shared" si="0"/>
        <v>977.3900000000003</v>
      </c>
      <c r="E12" s="23" t="s">
        <v>53</v>
      </c>
    </row>
    <row r="13" spans="1:5" ht="75" customHeight="1">
      <c r="A13" s="26" t="s">
        <v>33</v>
      </c>
      <c r="B13" s="51">
        <v>5395.5</v>
      </c>
      <c r="C13" s="25">
        <v>5212.83</v>
      </c>
      <c r="D13" s="72">
        <f t="shared" si="0"/>
        <v>-182.67000000000007</v>
      </c>
      <c r="E13" s="23" t="s">
        <v>54</v>
      </c>
    </row>
    <row r="14" spans="1:5" ht="115.2" customHeight="1">
      <c r="A14" s="23" t="s">
        <v>34</v>
      </c>
      <c r="B14" s="49">
        <v>5747</v>
      </c>
      <c r="C14" s="25">
        <v>9367.12</v>
      </c>
      <c r="D14" s="71">
        <f t="shared" si="0"/>
        <v>3620.120000000001</v>
      </c>
      <c r="E14" s="27" t="s">
        <v>82</v>
      </c>
    </row>
    <row r="15" spans="1:5" ht="60" customHeight="1">
      <c r="A15" s="23" t="s">
        <v>35</v>
      </c>
      <c r="B15" s="49">
        <v>6637</v>
      </c>
      <c r="C15" s="25">
        <v>4036.27</v>
      </c>
      <c r="D15" s="72">
        <f t="shared" si="0"/>
        <v>-2600.73</v>
      </c>
      <c r="E15" s="23" t="s">
        <v>36</v>
      </c>
    </row>
    <row r="16" spans="1:5" ht="73.8" customHeight="1">
      <c r="A16" s="20" t="s">
        <v>40</v>
      </c>
      <c r="B16" s="52">
        <v>7116.5</v>
      </c>
      <c r="C16" s="10">
        <v>9658.05</v>
      </c>
      <c r="D16" s="71">
        <f t="shared" si="0"/>
        <v>2541.5499999999993</v>
      </c>
      <c r="E16" s="23" t="s">
        <v>61</v>
      </c>
    </row>
    <row r="17" spans="1:5" ht="60" customHeight="1">
      <c r="A17" s="20" t="s">
        <v>41</v>
      </c>
      <c r="B17" s="52">
        <v>1176</v>
      </c>
      <c r="C17" s="10">
        <v>5039.65</v>
      </c>
      <c r="D17" s="71">
        <f t="shared" si="0"/>
        <v>3863.6499999999996</v>
      </c>
      <c r="E17" s="23" t="s">
        <v>62</v>
      </c>
    </row>
    <row r="18" spans="1:5" ht="60" customHeight="1">
      <c r="A18" s="20" t="s">
        <v>42</v>
      </c>
      <c r="B18" s="53">
        <v>5165</v>
      </c>
      <c r="C18" s="103">
        <v>9952.89</v>
      </c>
      <c r="D18" s="107">
        <f t="shared" si="0"/>
        <v>4787.889999999999</v>
      </c>
      <c r="E18" s="23" t="s">
        <v>63</v>
      </c>
    </row>
    <row r="19" spans="1:5" ht="60" customHeight="1">
      <c r="A19" s="20" t="s">
        <v>43</v>
      </c>
      <c r="B19" s="54"/>
      <c r="C19" s="104"/>
      <c r="D19" s="108"/>
      <c r="E19" s="23" t="s">
        <v>55</v>
      </c>
    </row>
    <row r="20" spans="1:5" ht="60" customHeight="1">
      <c r="A20" s="4" t="s">
        <v>44</v>
      </c>
      <c r="B20" s="52">
        <v>504</v>
      </c>
      <c r="C20" s="85">
        <v>618.4</v>
      </c>
      <c r="D20" s="86">
        <f>C20-B20</f>
        <v>114.39999999999998</v>
      </c>
      <c r="E20" s="23" t="s">
        <v>56</v>
      </c>
    </row>
    <row r="21" spans="1:5" ht="60" customHeight="1">
      <c r="A21" s="4" t="s">
        <v>45</v>
      </c>
      <c r="B21" s="54">
        <v>2227</v>
      </c>
      <c r="C21" s="83">
        <v>808.98</v>
      </c>
      <c r="D21" s="84">
        <f>C21-B21</f>
        <v>-1418.02</v>
      </c>
      <c r="E21" s="23" t="s">
        <v>57</v>
      </c>
    </row>
    <row r="22" spans="1:5" ht="60" customHeight="1">
      <c r="A22" s="20" t="s">
        <v>46</v>
      </c>
      <c r="B22" s="52">
        <v>1581</v>
      </c>
      <c r="C22" s="10">
        <v>1427.38</v>
      </c>
      <c r="D22" s="72">
        <f t="shared" si="0"/>
        <v>-153.6199999999999</v>
      </c>
      <c r="E22" s="23" t="s">
        <v>58</v>
      </c>
    </row>
    <row r="23" spans="1:5" ht="37.8" customHeight="1">
      <c r="A23" s="20" t="s">
        <v>174</v>
      </c>
      <c r="B23" s="52">
        <v>1394</v>
      </c>
      <c r="C23" s="48">
        <v>1678.69</v>
      </c>
      <c r="D23" s="88">
        <f t="shared" si="0"/>
        <v>284.69000000000005</v>
      </c>
      <c r="E23" s="99" t="s">
        <v>80</v>
      </c>
    </row>
    <row r="24" spans="1:5" ht="37.8" customHeight="1">
      <c r="A24" s="20" t="s">
        <v>175</v>
      </c>
      <c r="B24" s="52">
        <v>210</v>
      </c>
      <c r="C24" s="10">
        <v>169.77</v>
      </c>
      <c r="D24" s="87">
        <f t="shared" si="0"/>
        <v>-40.22999999999999</v>
      </c>
      <c r="E24" s="100"/>
    </row>
    <row r="25" spans="1:5" ht="60" customHeight="1">
      <c r="A25" s="20" t="s">
        <v>47</v>
      </c>
      <c r="B25" s="52">
        <v>819</v>
      </c>
      <c r="C25" s="10">
        <f>709.7*2+123.88</f>
        <v>1543.2800000000002</v>
      </c>
      <c r="D25" s="71">
        <f t="shared" si="0"/>
        <v>724.2800000000002</v>
      </c>
      <c r="E25" s="23" t="s">
        <v>59</v>
      </c>
    </row>
    <row r="26" spans="1:5" ht="60" customHeight="1">
      <c r="A26" s="20" t="s">
        <v>173</v>
      </c>
      <c r="B26" s="52">
        <v>1734</v>
      </c>
      <c r="C26" s="10">
        <v>51.1</v>
      </c>
      <c r="D26" s="72">
        <f t="shared" si="0"/>
        <v>-1682.9</v>
      </c>
      <c r="E26" s="23" t="s">
        <v>60</v>
      </c>
    </row>
    <row r="27" spans="1:5" ht="60" customHeight="1">
      <c r="A27" s="20" t="s">
        <v>64</v>
      </c>
      <c r="B27" s="52"/>
      <c r="C27" s="10">
        <f>501.05+282.54</f>
        <v>783.59</v>
      </c>
      <c r="D27" s="73"/>
      <c r="E27" s="23" t="s">
        <v>160</v>
      </c>
    </row>
    <row r="28" spans="1:5" ht="60" customHeight="1">
      <c r="A28" s="20" t="s">
        <v>65</v>
      </c>
      <c r="B28" s="52"/>
      <c r="C28" s="10">
        <f>1035+117.39</f>
        <v>1152.39</v>
      </c>
      <c r="D28" s="73"/>
      <c r="E28" s="23" t="s">
        <v>81</v>
      </c>
    </row>
    <row r="29" spans="1:5" ht="60" customHeight="1">
      <c r="A29" s="20" t="s">
        <v>66</v>
      </c>
      <c r="B29" s="52"/>
      <c r="C29" s="10">
        <v>202</v>
      </c>
      <c r="D29" s="14"/>
      <c r="E29" s="23" t="s">
        <v>73</v>
      </c>
    </row>
    <row r="30" spans="1:5" ht="60" customHeight="1">
      <c r="A30" s="20" t="s">
        <v>67</v>
      </c>
      <c r="B30" s="52"/>
      <c r="C30" s="10">
        <f>587.7</f>
        <v>587.7</v>
      </c>
      <c r="D30" s="14"/>
      <c r="E30" s="23" t="s">
        <v>74</v>
      </c>
    </row>
    <row r="31" spans="1:5" ht="60" customHeight="1">
      <c r="A31" s="21" t="s">
        <v>68</v>
      </c>
      <c r="B31" s="55"/>
      <c r="C31" s="10">
        <f>1173.92+157.58+157.58</f>
        <v>1489.08</v>
      </c>
      <c r="D31" s="14"/>
      <c r="E31" s="23" t="s">
        <v>75</v>
      </c>
    </row>
    <row r="32" spans="1:5" ht="60" customHeight="1">
      <c r="A32" s="21" t="s">
        <v>69</v>
      </c>
      <c r="B32" s="55"/>
      <c r="C32" s="10">
        <v>233.82</v>
      </c>
      <c r="D32" s="14"/>
      <c r="E32" s="23" t="s">
        <v>76</v>
      </c>
    </row>
    <row r="33" spans="1:5" ht="60" customHeight="1">
      <c r="A33" s="21" t="s">
        <v>70</v>
      </c>
      <c r="B33" s="55">
        <v>756</v>
      </c>
      <c r="C33" s="10">
        <v>887.75</v>
      </c>
      <c r="D33" s="71">
        <f t="shared" si="0"/>
        <v>131.75</v>
      </c>
      <c r="E33" s="23" t="s">
        <v>77</v>
      </c>
    </row>
    <row r="34" spans="1:5" ht="60" customHeight="1">
      <c r="A34" s="21" t="s">
        <v>71</v>
      </c>
      <c r="B34" s="55"/>
      <c r="C34" s="10">
        <v>887.75</v>
      </c>
      <c r="D34" s="14"/>
      <c r="E34" s="23" t="s">
        <v>78</v>
      </c>
    </row>
    <row r="35" spans="1:5" ht="60" customHeight="1">
      <c r="A35" s="21" t="s">
        <v>72</v>
      </c>
      <c r="B35" s="55"/>
      <c r="C35" s="10">
        <v>887.75</v>
      </c>
      <c r="D35" s="14"/>
      <c r="E35" s="23" t="s">
        <v>79</v>
      </c>
    </row>
    <row r="36" spans="1:5" ht="60" customHeight="1">
      <c r="A36" s="20" t="s">
        <v>84</v>
      </c>
      <c r="B36" s="52">
        <v>420</v>
      </c>
      <c r="C36" s="29">
        <v>0</v>
      </c>
      <c r="D36" s="72">
        <f t="shared" si="0"/>
        <v>-420</v>
      </c>
      <c r="E36" s="23" t="s">
        <v>89</v>
      </c>
    </row>
    <row r="37" spans="1:5" ht="60" customHeight="1">
      <c r="A37" s="20" t="s">
        <v>85</v>
      </c>
      <c r="B37" s="52">
        <v>672</v>
      </c>
      <c r="C37" s="29">
        <v>0</v>
      </c>
      <c r="D37" s="72">
        <f t="shared" si="0"/>
        <v>-672</v>
      </c>
      <c r="E37" s="23" t="s">
        <v>88</v>
      </c>
    </row>
    <row r="38" spans="1:5" ht="60" customHeight="1">
      <c r="A38" s="20" t="s">
        <v>86</v>
      </c>
      <c r="B38" s="52">
        <v>703</v>
      </c>
      <c r="C38" s="29">
        <v>0</v>
      </c>
      <c r="D38" s="72">
        <f t="shared" si="0"/>
        <v>-703</v>
      </c>
      <c r="E38" s="23" t="s">
        <v>88</v>
      </c>
    </row>
    <row r="39" spans="1:5" ht="60" customHeight="1">
      <c r="A39" s="20" t="s">
        <v>87</v>
      </c>
      <c r="B39" s="52"/>
      <c r="C39" s="29">
        <v>0</v>
      </c>
      <c r="D39" s="14">
        <f t="shared" si="0"/>
        <v>0</v>
      </c>
      <c r="E39" s="23" t="s">
        <v>88</v>
      </c>
    </row>
    <row r="40" spans="1:5" ht="60" customHeight="1">
      <c r="A40" s="6" t="s">
        <v>8</v>
      </c>
      <c r="B40" s="56">
        <f>SUM(B5:B39)</f>
        <v>74207</v>
      </c>
      <c r="C40" s="7">
        <f>SUM(C5:C35)</f>
        <v>112519.05000000002</v>
      </c>
      <c r="D40" s="7"/>
      <c r="E40" s="28"/>
    </row>
    <row r="41" spans="1:5" ht="27" customHeight="1">
      <c r="A41" s="90" t="s">
        <v>178</v>
      </c>
      <c r="B41" s="90"/>
      <c r="C41" s="90"/>
      <c r="D41" s="90"/>
      <c r="E41" s="90"/>
    </row>
  </sheetData>
  <mergeCells count="10">
    <mergeCell ref="E23:E24"/>
    <mergeCell ref="A41:E41"/>
    <mergeCell ref="A1:E1"/>
    <mergeCell ref="A3:A4"/>
    <mergeCell ref="C3:C4"/>
    <mergeCell ref="E3:E4"/>
    <mergeCell ref="C18:C19"/>
    <mergeCell ref="B3:B4"/>
    <mergeCell ref="D3:D4"/>
    <mergeCell ref="D18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16"/>
  <sheetViews>
    <sheetView view="pageBreakPreview" zoomScaleSheetLayoutView="100" workbookViewId="0" topLeftCell="A1">
      <selection activeCell="E13" sqref="E13"/>
    </sheetView>
  </sheetViews>
  <sheetFormatPr defaultColWidth="9.00390625" defaultRowHeight="15.75"/>
  <cols>
    <col min="1" max="2" width="18.625" style="0" customWidth="1"/>
    <col min="3" max="4" width="22.625" style="0" customWidth="1"/>
    <col min="5" max="5" width="48.50390625" style="0" customWidth="1"/>
  </cols>
  <sheetData>
    <row r="1" spans="1:5" ht="22.2">
      <c r="A1" s="94" t="s">
        <v>83</v>
      </c>
      <c r="B1" s="94"/>
      <c r="C1" s="94"/>
      <c r="D1" s="94"/>
      <c r="E1" s="94"/>
    </row>
    <row r="3" spans="1:5" ht="16.2" customHeight="1">
      <c r="A3" s="93" t="s">
        <v>9</v>
      </c>
      <c r="B3" s="109" t="s">
        <v>164</v>
      </c>
      <c r="C3" s="92" t="s">
        <v>0</v>
      </c>
      <c r="D3" s="97" t="s">
        <v>181</v>
      </c>
      <c r="E3" s="93" t="s">
        <v>1</v>
      </c>
    </row>
    <row r="4" spans="1:5" ht="16.2" customHeight="1">
      <c r="A4" s="93"/>
      <c r="B4" s="110"/>
      <c r="C4" s="92"/>
      <c r="D4" s="98"/>
      <c r="E4" s="93"/>
    </row>
    <row r="5" spans="1:5" ht="60" customHeight="1">
      <c r="A5" s="125" t="s">
        <v>192</v>
      </c>
      <c r="B5" s="126"/>
      <c r="C5" s="30">
        <f>774.59+617.42+66.1+66.1+143.73+59.98+59.98+62.49+62.49+62.49+62.49+156.18</f>
        <v>2194.04</v>
      </c>
      <c r="D5" s="74">
        <f>C5-B5</f>
        <v>2194.04</v>
      </c>
      <c r="E5" s="24" t="s">
        <v>197</v>
      </c>
    </row>
    <row r="6" spans="1:5" ht="60" customHeight="1">
      <c r="A6" s="127" t="s">
        <v>193</v>
      </c>
      <c r="B6" s="128"/>
      <c r="C6" s="30">
        <f>832.14+660.81</f>
        <v>1492.9499999999998</v>
      </c>
      <c r="D6" s="74"/>
      <c r="E6" s="24" t="s">
        <v>198</v>
      </c>
    </row>
    <row r="7" spans="1:5" ht="60" customHeight="1">
      <c r="A7" s="4" t="s">
        <v>91</v>
      </c>
      <c r="B7" s="30">
        <v>3635</v>
      </c>
      <c r="C7" s="30">
        <f>503.64+440.22+1877.71+2096.53+471.18+1146.49+1136.5+190.32</f>
        <v>7862.59</v>
      </c>
      <c r="D7" s="74">
        <f aca="true" t="shared" si="0" ref="D7:D9">C7-B7</f>
        <v>4227.59</v>
      </c>
      <c r="E7" s="24" t="s">
        <v>194</v>
      </c>
    </row>
    <row r="8" spans="1:5" ht="60" customHeight="1">
      <c r="A8" s="4" t="s">
        <v>92</v>
      </c>
      <c r="B8" s="30">
        <v>5575</v>
      </c>
      <c r="C8" s="30">
        <f>1442.54+375.63+402.78+1208.37+1208.37+1356.44+1356.44+1440.45+139.51+471.18</f>
        <v>9401.710000000001</v>
      </c>
      <c r="D8" s="74">
        <f t="shared" si="0"/>
        <v>3826.710000000001</v>
      </c>
      <c r="E8" s="24" t="s">
        <v>195</v>
      </c>
    </row>
    <row r="9" spans="1:5" ht="60" customHeight="1">
      <c r="A9" s="4" t="s">
        <v>93</v>
      </c>
      <c r="B9" s="30">
        <v>5640</v>
      </c>
      <c r="C9" s="30">
        <f>1379.36+1026.29+1042.8+1046.43+1062.06</f>
        <v>5556.9400000000005</v>
      </c>
      <c r="D9" s="129">
        <f t="shared" si="0"/>
        <v>-83.05999999999949</v>
      </c>
      <c r="E9" s="24" t="s">
        <v>196</v>
      </c>
    </row>
    <row r="10" spans="1:5" ht="60" customHeight="1">
      <c r="A10" s="4" t="s">
        <v>94</v>
      </c>
      <c r="B10" s="30">
        <v>833</v>
      </c>
      <c r="C10" s="29">
        <v>0</v>
      </c>
      <c r="D10" s="75">
        <f aca="true" t="shared" si="1" ref="D10:D14">C10-B10</f>
        <v>-833</v>
      </c>
      <c r="E10" s="24" t="s">
        <v>205</v>
      </c>
    </row>
    <row r="11" spans="1:5" ht="60" customHeight="1">
      <c r="A11" s="4" t="s">
        <v>95</v>
      </c>
      <c r="B11" s="30">
        <v>2312</v>
      </c>
      <c r="C11" s="29">
        <v>0</v>
      </c>
      <c r="D11" s="75">
        <f t="shared" si="1"/>
        <v>-2312</v>
      </c>
      <c r="E11" s="24" t="s">
        <v>204</v>
      </c>
    </row>
    <row r="12" spans="1:5" ht="60" customHeight="1">
      <c r="A12" s="4" t="s">
        <v>166</v>
      </c>
      <c r="B12" s="30">
        <v>255</v>
      </c>
      <c r="C12" s="29">
        <v>0</v>
      </c>
      <c r="D12" s="75">
        <f t="shared" si="1"/>
        <v>-255</v>
      </c>
      <c r="E12" s="24" t="s">
        <v>203</v>
      </c>
    </row>
    <row r="13" spans="1:5" ht="60" customHeight="1">
      <c r="A13" s="130" t="s">
        <v>199</v>
      </c>
      <c r="B13" s="30">
        <v>68</v>
      </c>
      <c r="C13" s="75">
        <v>0</v>
      </c>
      <c r="D13" s="75">
        <f t="shared" si="1"/>
        <v>-68</v>
      </c>
      <c r="E13" s="23" t="s">
        <v>201</v>
      </c>
    </row>
    <row r="14" spans="1:5" ht="60" customHeight="1">
      <c r="A14" s="130" t="s">
        <v>200</v>
      </c>
      <c r="B14" s="30">
        <v>901</v>
      </c>
      <c r="C14" s="75">
        <v>0</v>
      </c>
      <c r="D14" s="75">
        <f t="shared" si="1"/>
        <v>-901</v>
      </c>
      <c r="E14" s="23" t="s">
        <v>202</v>
      </c>
    </row>
    <row r="15" spans="1:5" ht="60" customHeight="1">
      <c r="A15" s="6" t="s">
        <v>8</v>
      </c>
      <c r="B15" s="60">
        <f>SUM(B5:B12)</f>
        <v>18250</v>
      </c>
      <c r="C15" s="7">
        <f>SUM(C5:C12)</f>
        <v>26508.230000000003</v>
      </c>
      <c r="D15" s="7"/>
      <c r="E15" s="11"/>
    </row>
    <row r="16" spans="1:5" ht="24.6" customHeight="1">
      <c r="A16" s="90" t="s">
        <v>179</v>
      </c>
      <c r="B16" s="90"/>
      <c r="C16" s="90"/>
      <c r="D16" s="90"/>
      <c r="E16" s="90"/>
    </row>
  </sheetData>
  <mergeCells count="7">
    <mergeCell ref="A16:E16"/>
    <mergeCell ref="A1:E1"/>
    <mergeCell ref="A3:A4"/>
    <mergeCell ref="C3:C4"/>
    <mergeCell ref="E3:E4"/>
    <mergeCell ref="B3:B4"/>
    <mergeCell ref="D3:D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09996999800205231"/>
  </sheetPr>
  <dimension ref="A1:M16"/>
  <sheetViews>
    <sheetView view="pageBreakPreview" zoomScaleSheetLayoutView="100" workbookViewId="0" topLeftCell="A1">
      <selection activeCell="H13" sqref="H13"/>
    </sheetView>
  </sheetViews>
  <sheetFormatPr defaultColWidth="9.00390625" defaultRowHeight="15.75"/>
  <cols>
    <col min="1" max="2" width="18.625" style="43" customWidth="1"/>
    <col min="3" max="4" width="22.625" style="43" customWidth="1"/>
    <col min="5" max="5" width="49.625" style="43" customWidth="1"/>
  </cols>
  <sheetData>
    <row r="1" spans="1:5" ht="22.2">
      <c r="A1" s="111" t="s">
        <v>163</v>
      </c>
      <c r="B1" s="111"/>
      <c r="C1" s="111"/>
      <c r="D1" s="111"/>
      <c r="E1" s="111"/>
    </row>
    <row r="2" ht="15.75">
      <c r="M2">
        <f>SUM(Q64)</f>
        <v>0</v>
      </c>
    </row>
    <row r="3" spans="1:5" ht="16.2" customHeight="1">
      <c r="A3" s="112" t="s">
        <v>9</v>
      </c>
      <c r="B3" s="114" t="s">
        <v>164</v>
      </c>
      <c r="C3" s="113" t="s">
        <v>0</v>
      </c>
      <c r="D3" s="116" t="s">
        <v>181</v>
      </c>
      <c r="E3" s="112" t="s">
        <v>1</v>
      </c>
    </row>
    <row r="4" spans="1:5" ht="16.2" customHeight="1">
      <c r="A4" s="112"/>
      <c r="B4" s="115"/>
      <c r="C4" s="113"/>
      <c r="D4" s="117"/>
      <c r="E4" s="112"/>
    </row>
    <row r="5" spans="1:5" ht="60" customHeight="1">
      <c r="A5" s="39" t="s">
        <v>167</v>
      </c>
      <c r="B5" s="58">
        <v>273</v>
      </c>
      <c r="C5" s="5">
        <f>666.31+1730.89</f>
        <v>2397.2</v>
      </c>
      <c r="D5" s="76">
        <f>C5-B5</f>
        <v>2124.2</v>
      </c>
      <c r="E5" s="44" t="s">
        <v>156</v>
      </c>
    </row>
    <row r="6" spans="1:5" ht="60" customHeight="1">
      <c r="A6" s="39" t="s">
        <v>149</v>
      </c>
      <c r="B6" s="58">
        <v>11411</v>
      </c>
      <c r="C6" s="5">
        <f>345+2459.73+2395.47+5080.99+912.63+644.71</f>
        <v>11838.529999999999</v>
      </c>
      <c r="D6" s="76">
        <f aca="true" t="shared" si="0" ref="D6:D12">C6-B6</f>
        <v>427.52999999999884</v>
      </c>
      <c r="E6" s="34" t="s">
        <v>157</v>
      </c>
    </row>
    <row r="7" spans="1:5" ht="60" customHeight="1">
      <c r="A7" s="39" t="s">
        <v>142</v>
      </c>
      <c r="B7" s="58">
        <v>6548</v>
      </c>
      <c r="C7" s="5">
        <f>291.69+1938.14+1991+1991+1200.67</f>
        <v>7412.5</v>
      </c>
      <c r="D7" s="76">
        <f t="shared" si="0"/>
        <v>864.5</v>
      </c>
      <c r="E7" s="34" t="s">
        <v>150</v>
      </c>
    </row>
    <row r="8" spans="1:5" ht="93.6" customHeight="1">
      <c r="A8" s="39" t="s">
        <v>151</v>
      </c>
      <c r="B8" s="58">
        <v>9504</v>
      </c>
      <c r="C8" s="5">
        <f>656.78+2436+2619.72+2242.64+1844.64+793+367.34*3+214.03+29.4+7.99+456.88+140.33</f>
        <v>12543.429999999998</v>
      </c>
      <c r="D8" s="76">
        <f t="shared" si="0"/>
        <v>3039.4299999999985</v>
      </c>
      <c r="E8" s="45" t="s">
        <v>158</v>
      </c>
    </row>
    <row r="9" spans="1:5" ht="100.2" customHeight="1">
      <c r="A9" s="39" t="s">
        <v>143</v>
      </c>
      <c r="B9" s="58">
        <v>6713</v>
      </c>
      <c r="C9" s="5">
        <f>1115.73+887.4+896.7+983.72+946.21+946.21+946.21+946.21+946.21+472.48+170.98</f>
        <v>9258.06</v>
      </c>
      <c r="D9" s="76">
        <f t="shared" si="0"/>
        <v>2545.0599999999995</v>
      </c>
      <c r="E9" s="34" t="s">
        <v>152</v>
      </c>
    </row>
    <row r="10" spans="1:5" ht="102.6" customHeight="1">
      <c r="A10" s="39" t="s">
        <v>144</v>
      </c>
      <c r="B10" s="58">
        <v>7802</v>
      </c>
      <c r="C10" s="5">
        <v>6668.99</v>
      </c>
      <c r="D10" s="75">
        <f t="shared" si="0"/>
        <v>-1133.0100000000002</v>
      </c>
      <c r="E10" s="34" t="s">
        <v>153</v>
      </c>
    </row>
    <row r="11" spans="1:5" ht="60" customHeight="1">
      <c r="A11" s="39" t="s">
        <v>145</v>
      </c>
      <c r="B11" s="58">
        <v>1893</v>
      </c>
      <c r="C11" s="5">
        <v>1240.05</v>
      </c>
      <c r="D11" s="75">
        <f t="shared" si="0"/>
        <v>-652.95</v>
      </c>
      <c r="E11" s="34" t="s">
        <v>190</v>
      </c>
    </row>
    <row r="12" spans="1:5" ht="60" customHeight="1">
      <c r="A12" s="39" t="s">
        <v>146</v>
      </c>
      <c r="B12" s="58">
        <v>756</v>
      </c>
      <c r="C12" s="5">
        <v>1134.15</v>
      </c>
      <c r="D12" s="76">
        <f t="shared" si="0"/>
        <v>378.1500000000001</v>
      </c>
      <c r="E12" s="34" t="s">
        <v>191</v>
      </c>
    </row>
    <row r="13" spans="1:5" ht="60" customHeight="1">
      <c r="A13" s="39" t="s">
        <v>147</v>
      </c>
      <c r="B13" s="58"/>
      <c r="C13" s="5">
        <v>220</v>
      </c>
      <c r="D13" s="5"/>
      <c r="E13" s="34" t="s">
        <v>154</v>
      </c>
    </row>
    <row r="14" spans="1:5" ht="60" customHeight="1">
      <c r="A14" s="39" t="s">
        <v>148</v>
      </c>
      <c r="B14" s="58"/>
      <c r="C14" s="5">
        <v>228.7</v>
      </c>
      <c r="D14" s="5"/>
      <c r="E14" s="34" t="s">
        <v>155</v>
      </c>
    </row>
    <row r="15" spans="1:5" ht="60" customHeight="1">
      <c r="A15" s="40" t="s">
        <v>8</v>
      </c>
      <c r="B15" s="59">
        <f>SUM(B5:B14)</f>
        <v>44900</v>
      </c>
      <c r="C15" s="41">
        <f>SUM(C5:C14)</f>
        <v>52941.60999999999</v>
      </c>
      <c r="D15" s="41"/>
      <c r="E15" s="42"/>
    </row>
    <row r="16" ht="24.6" customHeight="1">
      <c r="A16" s="43" t="s">
        <v>177</v>
      </c>
    </row>
  </sheetData>
  <mergeCells count="6">
    <mergeCell ref="A1:E1"/>
    <mergeCell ref="A3:A4"/>
    <mergeCell ref="C3:C4"/>
    <mergeCell ref="E3:E4"/>
    <mergeCell ref="B3:B4"/>
    <mergeCell ref="D3:D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1"/>
  <sheetViews>
    <sheetView view="pageBreakPreview" zoomScaleSheetLayoutView="100" workbookViewId="0" topLeftCell="A2">
      <selection activeCell="D3" sqref="D3:D4"/>
    </sheetView>
  </sheetViews>
  <sheetFormatPr defaultColWidth="9.00390625" defaultRowHeight="15.75"/>
  <cols>
    <col min="1" max="2" width="18.625" style="0" customWidth="1"/>
    <col min="3" max="4" width="22.625" style="0" customWidth="1"/>
    <col min="5" max="5" width="50.00390625" style="0" customWidth="1"/>
    <col min="6" max="6" width="18.00390625" style="0" customWidth="1"/>
  </cols>
  <sheetData>
    <row r="1" spans="1:5" ht="22.2">
      <c r="A1" s="94" t="s">
        <v>96</v>
      </c>
      <c r="B1" s="94"/>
      <c r="C1" s="94"/>
      <c r="D1" s="94"/>
      <c r="E1" s="94"/>
    </row>
    <row r="3" spans="1:5" ht="16.2" customHeight="1">
      <c r="A3" s="93" t="s">
        <v>9</v>
      </c>
      <c r="B3" s="109" t="s">
        <v>164</v>
      </c>
      <c r="C3" s="92" t="s">
        <v>0</v>
      </c>
      <c r="D3" s="97" t="s">
        <v>181</v>
      </c>
      <c r="E3" s="93" t="s">
        <v>1</v>
      </c>
    </row>
    <row r="4" spans="1:5" ht="16.2" customHeight="1">
      <c r="A4" s="93"/>
      <c r="B4" s="110"/>
      <c r="C4" s="92"/>
      <c r="D4" s="98"/>
      <c r="E4" s="93"/>
    </row>
    <row r="5" spans="1:5" ht="60" customHeight="1">
      <c r="A5" s="12" t="s">
        <v>100</v>
      </c>
      <c r="B5" s="52">
        <v>11174</v>
      </c>
      <c r="C5" s="35">
        <v>13946.55</v>
      </c>
      <c r="D5" s="77">
        <f>C5-B5</f>
        <v>2772.5499999999993</v>
      </c>
      <c r="E5" s="34" t="s">
        <v>101</v>
      </c>
    </row>
    <row r="6" spans="1:6" ht="82.2" customHeight="1">
      <c r="A6" s="12" t="s">
        <v>97</v>
      </c>
      <c r="B6" s="52">
        <v>7262</v>
      </c>
      <c r="C6" s="35">
        <v>7784.6</v>
      </c>
      <c r="D6" s="77">
        <f aca="true" t="shared" si="0" ref="D6:D9">C6-B6</f>
        <v>522.6000000000004</v>
      </c>
      <c r="E6" s="34" t="s">
        <v>172</v>
      </c>
      <c r="F6" s="62" t="s">
        <v>171</v>
      </c>
    </row>
    <row r="7" spans="1:5" ht="60" customHeight="1">
      <c r="A7" s="12" t="s">
        <v>98</v>
      </c>
      <c r="B7" s="52">
        <v>525</v>
      </c>
      <c r="C7" s="35">
        <v>1448</v>
      </c>
      <c r="D7" s="77">
        <f t="shared" si="0"/>
        <v>923</v>
      </c>
      <c r="E7" s="34" t="s">
        <v>102</v>
      </c>
    </row>
    <row r="8" spans="1:5" ht="60" customHeight="1">
      <c r="A8" s="12" t="s">
        <v>99</v>
      </c>
      <c r="B8" s="52">
        <v>577</v>
      </c>
      <c r="C8" s="35">
        <v>1865.79</v>
      </c>
      <c r="D8" s="77">
        <f t="shared" si="0"/>
        <v>1288.79</v>
      </c>
      <c r="E8" s="34" t="s">
        <v>103</v>
      </c>
    </row>
    <row r="9" spans="1:5" ht="60" customHeight="1">
      <c r="A9" s="46" t="s">
        <v>168</v>
      </c>
      <c r="B9" s="52">
        <v>1020</v>
      </c>
      <c r="C9" s="35">
        <v>0</v>
      </c>
      <c r="D9" s="78">
        <f t="shared" si="0"/>
        <v>-1020</v>
      </c>
      <c r="E9" s="34" t="s">
        <v>169</v>
      </c>
    </row>
    <row r="10" spans="1:5" ht="60" customHeight="1">
      <c r="A10" s="31" t="s">
        <v>8</v>
      </c>
      <c r="B10" s="56">
        <f>SUM(B5:B9)</f>
        <v>20558</v>
      </c>
      <c r="C10" s="7">
        <f>SUM(C5:C9)</f>
        <v>25044.940000000002</v>
      </c>
      <c r="D10" s="7"/>
      <c r="E10" s="11"/>
    </row>
    <row r="11" spans="1:5" ht="25.8" customHeight="1">
      <c r="A11" s="90" t="s">
        <v>180</v>
      </c>
      <c r="B11" s="90"/>
      <c r="C11" s="90"/>
      <c r="D11" s="90"/>
      <c r="E11" s="90"/>
    </row>
  </sheetData>
  <mergeCells count="7">
    <mergeCell ref="A11:E11"/>
    <mergeCell ref="A1:E1"/>
    <mergeCell ref="A3:A4"/>
    <mergeCell ref="C3:C4"/>
    <mergeCell ref="E3:E4"/>
    <mergeCell ref="B3:B4"/>
    <mergeCell ref="D3:D4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5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0"/>
  <sheetViews>
    <sheetView view="pageBreakPreview" zoomScaleSheetLayoutView="100" workbookViewId="0" topLeftCell="A1">
      <selection activeCell="E11" sqref="E11"/>
    </sheetView>
  </sheetViews>
  <sheetFormatPr defaultColWidth="9.00390625" defaultRowHeight="15.75"/>
  <cols>
    <col min="1" max="2" width="18.625" style="0" customWidth="1"/>
    <col min="3" max="4" width="22.625" style="0" customWidth="1"/>
    <col min="5" max="5" width="51.875" style="0" customWidth="1"/>
  </cols>
  <sheetData>
    <row r="1" spans="1:5" ht="22.2">
      <c r="A1" s="94" t="s">
        <v>104</v>
      </c>
      <c r="B1" s="94"/>
      <c r="C1" s="94"/>
      <c r="D1" s="94"/>
      <c r="E1" s="94"/>
    </row>
    <row r="3" spans="1:5" ht="16.2" customHeight="1">
      <c r="A3" s="93" t="s">
        <v>9</v>
      </c>
      <c r="B3" s="109" t="s">
        <v>164</v>
      </c>
      <c r="C3" s="92" t="s">
        <v>0</v>
      </c>
      <c r="D3" s="97" t="s">
        <v>181</v>
      </c>
      <c r="E3" s="93" t="s">
        <v>1</v>
      </c>
    </row>
    <row r="4" spans="1:5" ht="16.2" customHeight="1">
      <c r="A4" s="93"/>
      <c r="B4" s="110"/>
      <c r="C4" s="92"/>
      <c r="D4" s="98"/>
      <c r="E4" s="93"/>
    </row>
    <row r="5" spans="1:5" ht="103.2" customHeight="1">
      <c r="A5" s="4" t="s">
        <v>106</v>
      </c>
      <c r="B5" s="57">
        <v>6514</v>
      </c>
      <c r="C5" s="36">
        <f>645.97+513.99+584.06+574.52+592.01+280.84+475.92+834.34+728.01+720.28+656.17+656.17+120.43</f>
        <v>7382.710000000001</v>
      </c>
      <c r="D5" s="79">
        <f>C5-B5</f>
        <v>868.710000000001</v>
      </c>
      <c r="E5" s="33" t="s">
        <v>107</v>
      </c>
    </row>
    <row r="6" spans="1:5" ht="94.2" customHeight="1">
      <c r="A6" s="4" t="s">
        <v>161</v>
      </c>
      <c r="B6" s="57"/>
      <c r="C6" s="36">
        <f>1225.85+323+597.51+597.51</f>
        <v>2743.87</v>
      </c>
      <c r="D6" s="36"/>
      <c r="E6" s="37" t="s">
        <v>108</v>
      </c>
    </row>
    <row r="7" spans="1:5" ht="60" customHeight="1">
      <c r="A7" s="4" t="s">
        <v>105</v>
      </c>
      <c r="B7" s="57">
        <v>306</v>
      </c>
      <c r="C7" s="38">
        <f>124.28+589.29+656.17</f>
        <v>1369.7399999999998</v>
      </c>
      <c r="D7" s="79">
        <f aca="true" t="shared" si="0" ref="D7:D8">C7-B7</f>
        <v>1063.7399999999998</v>
      </c>
      <c r="E7" s="33" t="s">
        <v>159</v>
      </c>
    </row>
    <row r="8" spans="1:5" ht="76.2" customHeight="1">
      <c r="A8" s="4" t="s">
        <v>162</v>
      </c>
      <c r="B8" s="57">
        <v>425</v>
      </c>
      <c r="C8" s="36">
        <f>314+122.7+656.17+656.17+282.53+282.53+255.66</f>
        <v>2569.7599999999998</v>
      </c>
      <c r="D8" s="79">
        <f t="shared" si="0"/>
        <v>2144.7599999999998</v>
      </c>
      <c r="E8" s="33" t="s">
        <v>109</v>
      </c>
    </row>
    <row r="9" spans="1:5" ht="60" customHeight="1">
      <c r="A9" s="31" t="s">
        <v>8</v>
      </c>
      <c r="B9" s="56">
        <f>SUM(B5:B8)</f>
        <v>7245</v>
      </c>
      <c r="C9" s="7">
        <f>SUM(C5:C8)</f>
        <v>14066.080000000002</v>
      </c>
      <c r="D9" s="7"/>
      <c r="E9" s="11"/>
    </row>
    <row r="10" spans="1:5" ht="25.2" customHeight="1">
      <c r="A10" s="90" t="s">
        <v>178</v>
      </c>
      <c r="B10" s="90"/>
      <c r="C10" s="90"/>
      <c r="D10" s="90"/>
      <c r="E10" s="90"/>
    </row>
  </sheetData>
  <mergeCells count="7">
    <mergeCell ref="A10:E10"/>
    <mergeCell ref="A1:E1"/>
    <mergeCell ref="A3:A4"/>
    <mergeCell ref="C3:C4"/>
    <mergeCell ref="E3:E4"/>
    <mergeCell ref="B3:B4"/>
    <mergeCell ref="D3:D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2"/>
  <sheetViews>
    <sheetView view="pageBreakPreview" zoomScaleSheetLayoutView="100" workbookViewId="0" topLeftCell="A1">
      <selection activeCell="D3" sqref="D3:D4"/>
    </sheetView>
  </sheetViews>
  <sheetFormatPr defaultColWidth="9.00390625" defaultRowHeight="15.75"/>
  <cols>
    <col min="1" max="1" width="23.75390625" style="0" customWidth="1"/>
    <col min="2" max="2" width="18.625" style="0" customWidth="1"/>
    <col min="3" max="4" width="22.625" style="0" customWidth="1"/>
    <col min="5" max="5" width="50.75390625" style="0" customWidth="1"/>
  </cols>
  <sheetData>
    <row r="1" spans="1:5" ht="22.2">
      <c r="A1" s="94" t="s">
        <v>110</v>
      </c>
      <c r="B1" s="94"/>
      <c r="C1" s="94"/>
      <c r="D1" s="94"/>
      <c r="E1" s="94"/>
    </row>
    <row r="3" spans="1:5" ht="16.2" customHeight="1">
      <c r="A3" s="93" t="s">
        <v>9</v>
      </c>
      <c r="B3" s="109" t="s">
        <v>164</v>
      </c>
      <c r="C3" s="92" t="s">
        <v>0</v>
      </c>
      <c r="D3" s="97" t="s">
        <v>181</v>
      </c>
      <c r="E3" s="93" t="s">
        <v>1</v>
      </c>
    </row>
    <row r="4" spans="1:5" ht="16.2" customHeight="1">
      <c r="A4" s="93"/>
      <c r="B4" s="110"/>
      <c r="C4" s="92"/>
      <c r="D4" s="98"/>
      <c r="E4" s="93"/>
    </row>
    <row r="5" spans="1:5" ht="75" customHeight="1">
      <c r="A5" s="32" t="s">
        <v>170</v>
      </c>
      <c r="B5" s="61">
        <v>1428</v>
      </c>
      <c r="C5" s="18">
        <f>1099.46+1157.21+340+67.38+509.37</f>
        <v>3173.42</v>
      </c>
      <c r="D5" s="80">
        <f>C5-B5</f>
        <v>1745.42</v>
      </c>
      <c r="E5" s="33" t="s">
        <v>116</v>
      </c>
    </row>
    <row r="6" spans="1:5" ht="99" customHeight="1">
      <c r="A6" s="32" t="s">
        <v>111</v>
      </c>
      <c r="B6" s="61">
        <v>9264</v>
      </c>
      <c r="C6" s="18">
        <f>401.12+566.26+771.34+1437.6+1473.48+1517.44+1499.46+1499.46+1642.74+97.7+1930.26</f>
        <v>12836.86</v>
      </c>
      <c r="D6" s="80">
        <f aca="true" t="shared" si="0" ref="D6:D10">C6-B6</f>
        <v>3572.8600000000006</v>
      </c>
      <c r="E6" s="23" t="s">
        <v>121</v>
      </c>
    </row>
    <row r="7" spans="1:5" ht="60" customHeight="1">
      <c r="A7" s="32" t="s">
        <v>112</v>
      </c>
      <c r="B7" s="61">
        <v>1113</v>
      </c>
      <c r="C7" s="18">
        <f>235.98+1509.33+1654.48+166.62</f>
        <v>3566.41</v>
      </c>
      <c r="D7" s="80">
        <f t="shared" si="0"/>
        <v>2453.41</v>
      </c>
      <c r="E7" s="33" t="s">
        <v>117</v>
      </c>
    </row>
    <row r="8" spans="1:5" ht="60" customHeight="1">
      <c r="A8" s="32" t="s">
        <v>113</v>
      </c>
      <c r="B8" s="61">
        <v>651</v>
      </c>
      <c r="C8" s="18">
        <f>88.01+1509.33+1256.2</f>
        <v>2853.54</v>
      </c>
      <c r="D8" s="80">
        <f t="shared" si="0"/>
        <v>2202.54</v>
      </c>
      <c r="E8" s="33" t="s">
        <v>118</v>
      </c>
    </row>
    <row r="9" spans="1:5" ht="60" customHeight="1">
      <c r="A9" s="32" t="s">
        <v>114</v>
      </c>
      <c r="B9" s="61">
        <v>1197</v>
      </c>
      <c r="C9" s="18">
        <f>1654.48+164.28</f>
        <v>1818.76</v>
      </c>
      <c r="D9" s="80">
        <f t="shared" si="0"/>
        <v>621.76</v>
      </c>
      <c r="E9" s="33" t="s">
        <v>119</v>
      </c>
    </row>
    <row r="10" spans="1:5" ht="60" customHeight="1">
      <c r="A10" s="32" t="s">
        <v>115</v>
      </c>
      <c r="B10" s="61">
        <v>504</v>
      </c>
      <c r="C10" s="18">
        <v>1123.3</v>
      </c>
      <c r="D10" s="80">
        <f t="shared" si="0"/>
        <v>619.3</v>
      </c>
      <c r="E10" s="33" t="s">
        <v>120</v>
      </c>
    </row>
    <row r="11" spans="1:5" ht="60" customHeight="1">
      <c r="A11" s="31" t="s">
        <v>8</v>
      </c>
      <c r="B11" s="56">
        <f>SUM(B5:B10)</f>
        <v>14157</v>
      </c>
      <c r="C11" s="7">
        <f>SUM(C5:C10)</f>
        <v>25372.29</v>
      </c>
      <c r="D11" s="7"/>
      <c r="E11" s="11"/>
    </row>
    <row r="12" spans="1:5" ht="27.6" customHeight="1">
      <c r="A12" s="90" t="s">
        <v>177</v>
      </c>
      <c r="B12" s="90"/>
      <c r="C12" s="90"/>
      <c r="D12" s="90"/>
      <c r="E12" s="90"/>
    </row>
  </sheetData>
  <mergeCells count="7">
    <mergeCell ref="A12:E12"/>
    <mergeCell ref="A1:E1"/>
    <mergeCell ref="A3:A4"/>
    <mergeCell ref="C3:C4"/>
    <mergeCell ref="E3:E4"/>
    <mergeCell ref="B3:B4"/>
    <mergeCell ref="D3:D4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7"/>
  <sheetViews>
    <sheetView view="pageBreakPreview" zoomScaleSheetLayoutView="100" workbookViewId="0" topLeftCell="A1">
      <selection activeCell="E11" sqref="E11"/>
    </sheetView>
  </sheetViews>
  <sheetFormatPr defaultColWidth="9.00390625" defaultRowHeight="15.75"/>
  <cols>
    <col min="1" max="2" width="18.625" style="0" customWidth="1"/>
    <col min="3" max="4" width="22.625" style="0" customWidth="1"/>
    <col min="5" max="5" width="51.75390625" style="0" customWidth="1"/>
  </cols>
  <sheetData>
    <row r="1" spans="1:5" ht="22.2">
      <c r="A1" s="94" t="s">
        <v>122</v>
      </c>
      <c r="B1" s="94"/>
      <c r="C1" s="94"/>
      <c r="D1" s="94"/>
      <c r="E1" s="94"/>
    </row>
    <row r="3" spans="1:5" ht="16.2" customHeight="1">
      <c r="A3" s="93" t="s">
        <v>9</v>
      </c>
      <c r="B3" s="109" t="s">
        <v>164</v>
      </c>
      <c r="C3" s="92" t="s">
        <v>0</v>
      </c>
      <c r="D3" s="97" t="s">
        <v>181</v>
      </c>
      <c r="E3" s="93" t="s">
        <v>1</v>
      </c>
    </row>
    <row r="4" spans="1:5" ht="16.2" customHeight="1">
      <c r="A4" s="93"/>
      <c r="B4" s="110"/>
      <c r="C4" s="92"/>
      <c r="D4" s="98"/>
      <c r="E4" s="93"/>
    </row>
    <row r="5" spans="1:5" ht="60" customHeight="1">
      <c r="A5" s="4" t="s">
        <v>123</v>
      </c>
      <c r="B5" s="57"/>
      <c r="C5" s="14">
        <f>53.55+942.23</f>
        <v>995.78</v>
      </c>
      <c r="D5" s="14"/>
      <c r="E5" s="24" t="s">
        <v>134</v>
      </c>
    </row>
    <row r="6" spans="1:5" ht="64.8" customHeight="1">
      <c r="A6" s="4" t="s">
        <v>124</v>
      </c>
      <c r="B6" s="57">
        <v>3315</v>
      </c>
      <c r="C6" s="14">
        <f>300.03+622.93+438.49+313.38+128.21</f>
        <v>1803.04</v>
      </c>
      <c r="D6" s="72">
        <f>C6-B6</f>
        <v>-1511.96</v>
      </c>
      <c r="E6" s="24" t="s">
        <v>135</v>
      </c>
    </row>
    <row r="7" spans="1:5" ht="69.6" customHeight="1">
      <c r="A7" s="4" t="s">
        <v>125</v>
      </c>
      <c r="B7" s="57">
        <v>3803</v>
      </c>
      <c r="C7" s="14">
        <f>319.24+253.17+809.01+628.78+26.85+73.63+35.61</f>
        <v>2146.29</v>
      </c>
      <c r="D7" s="72">
        <f aca="true" t="shared" si="0" ref="D7:D8">C7-B7</f>
        <v>-1656.71</v>
      </c>
      <c r="E7" s="24" t="s">
        <v>186</v>
      </c>
    </row>
    <row r="8" spans="1:5" ht="60" customHeight="1">
      <c r="A8" s="4" t="s">
        <v>126</v>
      </c>
      <c r="B8" s="57">
        <v>2755</v>
      </c>
      <c r="C8" s="14">
        <f>641+327.19+831.85</f>
        <v>1800.04</v>
      </c>
      <c r="D8" s="72">
        <f t="shared" si="0"/>
        <v>-954.96</v>
      </c>
      <c r="E8" s="24" t="s">
        <v>136</v>
      </c>
    </row>
    <row r="9" spans="1:5" ht="60" customHeight="1">
      <c r="A9" s="4" t="s">
        <v>127</v>
      </c>
      <c r="B9" s="57">
        <v>1593</v>
      </c>
      <c r="C9" s="14">
        <f>212.99+896.22+76.05+329.01+526.96</f>
        <v>2041.23</v>
      </c>
      <c r="D9" s="71">
        <f aca="true" t="shared" si="1" ref="D9:D15">C9-B9</f>
        <v>448.23</v>
      </c>
      <c r="E9" s="24" t="s">
        <v>137</v>
      </c>
    </row>
    <row r="10" spans="1:5" ht="60" customHeight="1">
      <c r="A10" s="4" t="s">
        <v>128</v>
      </c>
      <c r="B10" s="57">
        <v>2384</v>
      </c>
      <c r="C10" s="14">
        <f>314.23+209.54+668.11+38.25</f>
        <v>1230.13</v>
      </c>
      <c r="D10" s="72">
        <f t="shared" si="1"/>
        <v>-1153.87</v>
      </c>
      <c r="E10" s="24" t="s">
        <v>138</v>
      </c>
    </row>
    <row r="11" spans="1:5" ht="93" customHeight="1">
      <c r="A11" s="4" t="s">
        <v>129</v>
      </c>
      <c r="B11" s="57">
        <v>3410</v>
      </c>
      <c r="C11" s="14">
        <f>461.13+116.345+907.35+675.51+38.12+80.87+83.7+41.1</f>
        <v>2404.1249999999995</v>
      </c>
      <c r="D11" s="72">
        <f t="shared" si="1"/>
        <v>-1005.8750000000005</v>
      </c>
      <c r="E11" s="24" t="s">
        <v>141</v>
      </c>
    </row>
    <row r="12" spans="1:5" ht="74.4" customHeight="1">
      <c r="A12" s="4" t="s">
        <v>130</v>
      </c>
      <c r="B12" s="57">
        <v>273</v>
      </c>
      <c r="C12" s="14">
        <f>247.035+110.1+258.21+365.2</f>
        <v>980.5450000000001</v>
      </c>
      <c r="D12" s="71">
        <f t="shared" si="1"/>
        <v>707.5450000000001</v>
      </c>
      <c r="E12" s="24" t="s">
        <v>183</v>
      </c>
    </row>
    <row r="13" spans="1:5" ht="60" customHeight="1">
      <c r="A13" s="4" t="s">
        <v>131</v>
      </c>
      <c r="B13" s="57">
        <v>1749</v>
      </c>
      <c r="C13" s="14">
        <f>316.32+880.65</f>
        <v>1196.97</v>
      </c>
      <c r="D13" s="72">
        <f t="shared" si="1"/>
        <v>-552.03</v>
      </c>
      <c r="E13" s="24" t="s">
        <v>139</v>
      </c>
    </row>
    <row r="14" spans="1:5" ht="60" customHeight="1">
      <c r="A14" s="4" t="s">
        <v>132</v>
      </c>
      <c r="B14" s="57"/>
      <c r="C14" s="14">
        <f>3320.04+3918.76+314.5</f>
        <v>7553.3</v>
      </c>
      <c r="D14" s="70"/>
      <c r="E14" s="24" t="s">
        <v>185</v>
      </c>
    </row>
    <row r="15" spans="1:5" ht="60" customHeight="1">
      <c r="A15" s="4" t="s">
        <v>133</v>
      </c>
      <c r="B15" s="57">
        <v>840</v>
      </c>
      <c r="C15" s="14">
        <f>51.2+49.6</f>
        <v>100.80000000000001</v>
      </c>
      <c r="D15" s="72">
        <f t="shared" si="1"/>
        <v>-739.2</v>
      </c>
      <c r="E15" s="24" t="s">
        <v>140</v>
      </c>
    </row>
    <row r="16" spans="1:5" ht="60" customHeight="1">
      <c r="A16" s="31" t="s">
        <v>8</v>
      </c>
      <c r="B16" s="56">
        <f>SUM(B5:B15)</f>
        <v>20122</v>
      </c>
      <c r="C16" s="7">
        <f>SUM(C5:C15)</f>
        <v>22252.249999999996</v>
      </c>
      <c r="D16" s="7"/>
      <c r="E16" s="11"/>
    </row>
    <row r="17" spans="1:5" ht="25.8" customHeight="1">
      <c r="A17" s="90" t="s">
        <v>177</v>
      </c>
      <c r="B17" s="90"/>
      <c r="C17" s="90"/>
      <c r="D17" s="90"/>
      <c r="E17" s="90"/>
    </row>
  </sheetData>
  <mergeCells count="7">
    <mergeCell ref="A17:E17"/>
    <mergeCell ref="A1:E1"/>
    <mergeCell ref="A3:A4"/>
    <mergeCell ref="C3:C4"/>
    <mergeCell ref="E3:E4"/>
    <mergeCell ref="B3:B4"/>
    <mergeCell ref="D3:D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90C7"/>
  </sheetPr>
  <dimension ref="A1:E11"/>
  <sheetViews>
    <sheetView view="pageBreakPreview" zoomScaleSheetLayoutView="100" workbookViewId="0" topLeftCell="A1">
      <selection activeCell="G8" sqref="G8"/>
    </sheetView>
  </sheetViews>
  <sheetFormatPr defaultColWidth="9.00390625" defaultRowHeight="15.75"/>
  <cols>
    <col min="1" max="1" width="18.625" style="8" customWidth="1"/>
    <col min="2" max="2" width="22.375" style="8" customWidth="1"/>
    <col min="3" max="4" width="26.00390625" style="9" customWidth="1"/>
    <col min="5" max="5" width="48.75390625" style="8" customWidth="1"/>
    <col min="6" max="16384" width="9.00390625" style="1" customWidth="1"/>
  </cols>
  <sheetData>
    <row r="1" spans="1:5" ht="24" customHeight="1">
      <c r="A1" s="94" t="s">
        <v>10</v>
      </c>
      <c r="B1" s="94"/>
      <c r="C1" s="94"/>
      <c r="D1" s="94"/>
      <c r="E1" s="94"/>
    </row>
    <row r="2" spans="1:5" ht="13.5" customHeight="1">
      <c r="A2" s="2"/>
      <c r="B2" s="47"/>
      <c r="C2" s="2"/>
      <c r="D2" s="69"/>
      <c r="E2" s="3"/>
    </row>
    <row r="3" spans="1:5" ht="16.5" customHeight="1">
      <c r="A3" s="119" t="s">
        <v>90</v>
      </c>
      <c r="B3" s="121" t="s">
        <v>164</v>
      </c>
      <c r="C3" s="120" t="s">
        <v>0</v>
      </c>
      <c r="D3" s="123" t="s">
        <v>182</v>
      </c>
      <c r="E3" s="93" t="s">
        <v>1</v>
      </c>
    </row>
    <row r="4" spans="1:5" ht="16.2" customHeight="1">
      <c r="A4" s="119"/>
      <c r="B4" s="122"/>
      <c r="C4" s="120"/>
      <c r="D4" s="124"/>
      <c r="E4" s="93"/>
    </row>
    <row r="5" spans="1:5" ht="60" customHeight="1">
      <c r="A5" s="63" t="s">
        <v>2</v>
      </c>
      <c r="B5" s="64"/>
      <c r="C5" s="65">
        <f>348.5</f>
        <v>348.5</v>
      </c>
      <c r="D5" s="65"/>
      <c r="E5" s="4" t="s">
        <v>184</v>
      </c>
    </row>
    <row r="6" spans="1:5" ht="60" customHeight="1">
      <c r="A6" s="63" t="s">
        <v>3</v>
      </c>
      <c r="B6" s="64">
        <v>3391</v>
      </c>
      <c r="C6" s="65">
        <f>314.23+289.26+440.78+990.14+396.68</f>
        <v>2431.0899999999997</v>
      </c>
      <c r="D6" s="81">
        <f>C6-B6</f>
        <v>-959.9100000000003</v>
      </c>
      <c r="E6" s="4" t="s">
        <v>4</v>
      </c>
    </row>
    <row r="7" spans="1:5" ht="60" customHeight="1">
      <c r="A7" s="63" t="s">
        <v>5</v>
      </c>
      <c r="B7" s="64">
        <v>1378</v>
      </c>
      <c r="C7" s="65">
        <f>130.21+379+66.8+63+568.36</f>
        <v>1207.37</v>
      </c>
      <c r="D7" s="89">
        <f aca="true" t="shared" si="0" ref="D7:D9">C7-B7</f>
        <v>-170.6300000000001</v>
      </c>
      <c r="E7" s="4" t="s">
        <v>189</v>
      </c>
    </row>
    <row r="8" spans="1:5" ht="70.8" customHeight="1">
      <c r="A8" s="63" t="s">
        <v>6</v>
      </c>
      <c r="B8" s="64">
        <v>702</v>
      </c>
      <c r="C8" s="65">
        <f>164.4+97.4+33.4+259.34+235.62</f>
        <v>790.16</v>
      </c>
      <c r="D8" s="82">
        <f t="shared" si="0"/>
        <v>88.15999999999997</v>
      </c>
      <c r="E8" s="4" t="s">
        <v>187</v>
      </c>
    </row>
    <row r="9" spans="1:5" ht="67.2" customHeight="1">
      <c r="A9" s="63" t="s">
        <v>7</v>
      </c>
      <c r="B9" s="64">
        <v>455</v>
      </c>
      <c r="C9" s="65">
        <f>78.42+115.62+39.37+425.73+389.57</f>
        <v>1048.71</v>
      </c>
      <c r="D9" s="82">
        <f t="shared" si="0"/>
        <v>593.71</v>
      </c>
      <c r="E9" s="4" t="s">
        <v>188</v>
      </c>
    </row>
    <row r="10" spans="1:5" ht="35.25" customHeight="1">
      <c r="A10" s="66" t="s">
        <v>8</v>
      </c>
      <c r="B10" s="67">
        <f>SUM(B5:B9)</f>
        <v>5926</v>
      </c>
      <c r="C10" s="68">
        <f>SUM(C5:C9)</f>
        <v>5825.83</v>
      </c>
      <c r="D10" s="68"/>
      <c r="E10" s="4"/>
    </row>
    <row r="11" spans="1:5" ht="22.8" customHeight="1">
      <c r="A11" s="118" t="s">
        <v>177</v>
      </c>
      <c r="B11" s="118"/>
      <c r="C11" s="118"/>
      <c r="D11" s="118"/>
      <c r="E11" s="118"/>
    </row>
  </sheetData>
  <mergeCells count="7">
    <mergeCell ref="A11:E11"/>
    <mergeCell ref="A1:E1"/>
    <mergeCell ref="A3:A4"/>
    <mergeCell ref="C3:C4"/>
    <mergeCell ref="E3:E4"/>
    <mergeCell ref="B3:B4"/>
    <mergeCell ref="D3:D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2022-06-16T05:50:02Z</cp:lastPrinted>
  <dcterms:created xsi:type="dcterms:W3CDTF">2022-06-08T01:36:26Z</dcterms:created>
  <dcterms:modified xsi:type="dcterms:W3CDTF">2022-07-18T01:54:57Z</dcterms:modified>
  <cp:category/>
  <cp:version/>
  <cp:contentType/>
  <cp:contentStatus/>
</cp:coreProperties>
</file>